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回答シート" sheetId="1" r:id="rId4"/>
    <sheet state="visible" name="凡例・見方" sheetId="2" r:id="rId5"/>
    <sheet state="visible" name="選択肢マスタ" sheetId="3" r:id="rId6"/>
    <sheet state="visible" name="分岐ルール" sheetId="4" r:id="rId7"/>
    <sheet state="visible" name="利用ガイド" sheetId="5" r:id="rId8"/>
  </sheets>
  <definedNames/>
  <calcPr/>
  <extLst>
    <ext uri="GoogleSheetsCustomDataVersion2">
      <go:sheetsCustomData xmlns:go="http://customooxmlschemas.google.com/" r:id="rId9" roundtripDataChecksum="mnN/n00GzhdvlflUfvWAyr7wgY1xG+TMg9xoJ5QEe8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521">
      <text>
        <t xml:space="preserve">======
ID#AAAB8KJrrCw
Unknown Author    (2026-06-16 02:53:10)
【詳細】 ★必須
この欄に「詳細」を記入してください。
※ 該当列が「○」の場合のみ入力可能です。</t>
      </text>
    </comment>
    <comment authorId="0" ref="J42">
      <text>
        <t xml:space="preserve">======
ID#AAAB8KJrrCg
Unknown Author    (2026-06-16 02:53:10)
【有効期限】 ★必須
この欄に「有効期限」を記入してください。
※ 該当列が「○」の場合のみ入力可能です。</t>
      </text>
    </comment>
    <comment authorId="0" ref="K42">
      <text>
        <t xml:space="preserve">======
ID#AAAB8KJrq_c
Unknown Author    (2026-06-16 02:53:10)
【範囲】 ★必須
この欄に「範囲」を記入してください。
※ 該当列が「○」の場合のみ入力可能です。</t>
      </text>
    </comment>
    <comment authorId="0" ref="I455">
      <text>
        <t xml:space="preserve">======
ID#AAAB8KJrrBA
Unknown Author    (2026-06-16 02:53:10)
【詳細】 ★必須
この欄に「詳細」を記入してください。
※ 該当列が「○」の場合のみ入力可能です。</t>
      </text>
    </comment>
    <comment authorId="0" ref="I414">
      <text>
        <t xml:space="preserve">======
ID#AAAB8KJrq9Q
Unknown Author    (2026-06-16 02:53:10)
【世代】 ★必須
この欄に「世代」を記入してください。
※ 該当列が「○」の場合のみ入力可能です。</t>
      </text>
    </comment>
    <comment authorId="0" ref="J414">
      <text>
        <t xml:space="preserve">======
ID#AAAB8KJrrAs
Unknown Author    (2026-06-16 02:53:10)
【頻度】 ★必須
この欄に「頻度」を記入してください。
※ 該当列が「○」の場合のみ入力可能です。</t>
      </text>
    </comment>
    <comment authorId="0" ref="I92">
      <text>
        <t xml:space="preserve">======
ID#AAAB8KJrq_8
Unknown Author    (2026-06-16 02:53:10)
【実施頻度】 ★必須
この欄に「実施頻度」を記入してください。
※ 該当列が「○」の場合のみ入力可能です。</t>
      </text>
    </comment>
    <comment authorId="0" ref="J92">
      <text>
        <t xml:space="preserve">======
ID#AAAB8KJrrCI
Unknown Author    (2026-06-16 02:53:10)
【最終実施年月】 ★必須
この欄に「最終実施年月」を記入してください。
※ 該当列が「○」の場合のみ入力可能です。</t>
      </text>
    </comment>
    <comment authorId="0" ref="I51">
      <text>
        <t xml:space="preserve">======
ID#AAAB8KJrq-c
Unknown Author    (2026-06-16 02:53:10)
【詳細】 ★必須
この欄に「詳細」を記入してください。
※ 該当列が「○」の場合のみ入力可能です。</t>
      </text>
    </comment>
    <comment authorId="0" ref="I18">
      <text>
        <t xml:space="preserve">======
ID#AAAB8KJrrC0
Unknown Author    (2026-06-16 02:53:10)
【サービス名】 ★必須
この欄に「サービス名」を記入してください。</t>
      </text>
    </comment>
    <comment authorId="0" ref="I398">
      <text>
        <t xml:space="preserve">======
ID#AAAB8KJrrEM
Unknown Author    (2026-06-16 02:53:10)
【詳細】 ★必須
この欄に「詳細」を記入してください。</t>
      </text>
    </comment>
    <comment authorId="0" ref="I43">
      <text>
        <t xml:space="preserve">======
ID#AAAB8KJrrB8
Unknown Author    (2026-06-16 02:53:10)
【登録番号】 ★必須
この欄に「登録番号」を記入してください。
※ 該当列が「○」の場合のみ入力可能です。</t>
      </text>
    </comment>
    <comment authorId="0" ref="I299">
      <text>
        <t xml:space="preserve">======
ID#AAAB8KJrq_k
Unknown Author    (2026-06-16 02:53:10)
【パスワード長、OTPの手段】 ★必須
この欄に「パスワード長、OTPの手段」を記入してください。</t>
      </text>
    </comment>
    <comment authorId="0" ref="J43">
      <text>
        <t xml:space="preserve">======
ID#AAAB8KJrrDg
Unknown Author    (2026-06-16 02:53:10)
【有効期限】 ★必須
この欄に「有効期限」を記入してください。
※ 該当列が「○」の場合のみ入力可能です。</t>
      </text>
    </comment>
    <comment authorId="0" ref="I266">
      <text>
        <t xml:space="preserve">======
ID#AAAB8KJrrBQ
Unknown Author    (2026-06-16 02:53:10)
【詳細】 ★必須
この欄に「詳細」を記入してください。
※ 該当列が「○」の場合のみ入力可能です。</t>
      </text>
    </comment>
    <comment authorId="0" ref="I10">
      <text>
        <t xml:space="preserve">======
ID#AAAB8KJrq_0
Unknown Author    (2026-06-16 02:53:10)
【企業名】 ★必須
この欄に「企業名」を記入してください。</t>
      </text>
    </comment>
    <comment authorId="0" ref="K43">
      <text>
        <t xml:space="preserve">======
ID#AAAB8KJrrC4
Unknown Author    (2026-06-16 02:53:10)
【範囲】 ★必須
この欄に「範囲」を記入してください。
※ 該当列が「○」の場合のみ入力可能です。</t>
      </text>
    </comment>
    <comment authorId="0" ref="I423">
      <text>
        <t xml:space="preserve">======
ID#AAAB8KJrrEI
Unknown Author    (2026-06-16 02:53:10)
【保管期間】 ★必須
この欄に「保管期間」を記入してください。</t>
      </text>
    </comment>
    <comment authorId="0" ref="I101">
      <text>
        <t xml:space="preserve">======
ID#AAAB8KJrq94
Unknown Author    (2026-06-16 02:53:10)
【詳細】 ★必須
この欄に「詳細」を記入してください。</t>
      </text>
    </comment>
    <comment authorId="0" ref="I448">
      <text>
        <t xml:space="preserve">======
ID#AAAB8KJrq9U
Unknown Author    (2026-06-16 02:53:10)
【詳細】 ★必須
この欄に「詳細」を記入してください。
※ 該当列が「○」の場合のみ入力可能です。</t>
      </text>
    </comment>
    <comment authorId="0" ref="I93">
      <text>
        <t xml:space="preserve">======
ID#AAAB8KJrrEU
Unknown Author    (2026-06-16 02:53:10)
【実施頻度】 ★必須
この欄に「実施頻度」を記入してください。
※ 該当列が「○」の場合のみ入力可能です。</t>
      </text>
    </comment>
    <comment authorId="0" ref="I572">
      <text>
        <t xml:space="preserve">======
ID#AAAB8KJrrC8
Unknown Author    (2026-06-16 02:53:10)
【頻度】 ★必須
この欄に「頻度」を記入してください。</t>
      </text>
    </comment>
    <comment authorId="0" ref="J93">
      <text>
        <t xml:space="preserve">======
ID#AAAB8KJrrEg
Unknown Author    (2026-06-16 02:53:10)
【最終実施年月】 ★必須
この欄に「最終実施年月」を記入してください。
※ 該当列が「○」の場合のみ入力可能です。</t>
      </text>
    </comment>
    <comment authorId="0" ref="I283">
      <text>
        <t xml:space="preserve">======
ID#AAAB8KJrrCk
Unknown Author    (2026-06-16 02:53:10)
【認証の手段や要素（例：パスワードと虹彩を用いた生体認証）】 ★必須
この欄に「認証の手段や要素（例：パスワードと虹彩を用いた生体認証）」を記入してください。</t>
      </text>
    </comment>
    <comment authorId="0" ref="I250">
      <text>
        <t xml:space="preserve">======
ID#AAAB8KJrrE4
Unknown Author    (2026-06-16 02:53:10)
【詳細】 ★必須
この欄に「詳細」を記入してください。</t>
      </text>
    </comment>
    <comment authorId="0" ref="I19">
      <text>
        <t xml:space="preserve">======
ID#AAAB8KJrrEs
Unknown Author    (2026-06-16 02:53:10)
【サービス名】 ★必須
この欄に「サービス名」を記入してください。</t>
      </text>
    </comment>
    <comment authorId="0" ref="I77">
      <text>
        <t xml:space="preserve">======
ID#AAAB8KJrrAk
Unknown Author    (2026-06-16 02:53:10)
【詳細】 ★必須
この欄に「詳細」を記入してください。</t>
      </text>
    </comment>
    <comment authorId="0" ref="I44">
      <text>
        <t xml:space="preserve">======
ID#AAAB8KJrrBM
Unknown Author    (2026-06-16 02:53:10)
【登録番号】 ★必須
この欄に「登録番号」を記入してください。
※ 該当列が「○」の場合のみ入力可能です。</t>
      </text>
    </comment>
    <comment authorId="0" ref="I300">
      <text>
        <t xml:space="preserve">======
ID#AAAB8KJrrAg
Unknown Author    (2026-06-16 02:53:10)
【パスワード長】 ★必須
この欄に「パスワード長」を記入してください。</t>
      </text>
    </comment>
    <comment authorId="0" ref="I556">
      <text>
        <t xml:space="preserve">======
ID#AAAB8KJrq_I
Unknown Author    (2026-06-16 02:53:10)
【詳細】 ★必須
この欄に「詳細」を記入してください。</t>
      </text>
    </comment>
    <comment authorId="0" ref="I11">
      <text>
        <t xml:space="preserve">======
ID#AAAB8KJrrBo
Unknown Author    (2026-06-16 02:53:10)
【企業名】 ★必須
この欄に「企業名」を記入してください。</t>
      </text>
    </comment>
    <comment authorId="0" ref="J44">
      <text>
        <t xml:space="preserve">======
ID#AAAB8KJrq-M
Unknown Author    (2026-06-16 02:53:10)
【有効期限】 ★必須
この欄に「有効期限」を記入してください。
※ 該当列が「○」の場合のみ入力可能です。</t>
      </text>
    </comment>
    <comment authorId="0" ref="K44">
      <text>
        <t xml:space="preserve">======
ID#AAAB8KJrq-8
Unknown Author    (2026-06-16 02:53:10)
【範囲】 ★必須
この欄に「範囲」を記入してください。
※ 該当列が「○」の場合のみ入力可能です。</t>
      </text>
    </comment>
    <comment authorId="0" ref="I234">
      <text>
        <t xml:space="preserve">======
ID#AAAB8KJrq90
Unknown Author    (2026-06-16 02:53:10)
【詳細】 ★必須
この欄に「詳細」を記入してください。</t>
      </text>
    </comment>
    <comment authorId="0" ref="I424">
      <text>
        <t xml:space="preserve">======
ID#AAAB8KJrq_M
Unknown Author    (2026-06-16 02:53:10)
【保管期間】 ★必須
この欄に「保管期間」を記入してください。</t>
      </text>
    </comment>
    <comment authorId="0" ref="I259">
      <text>
        <t xml:space="preserve">======
ID#AAAB8KJrq9c
Unknown Author    (2026-06-16 02:53:10)
【詳細】 ★必須
この欄に「詳細」を記入してください。
※ 該当列が「○」の場合のみ入力可能です。</t>
      </text>
    </comment>
    <comment authorId="0" ref="I226">
      <text>
        <t xml:space="preserve">======
ID#AAAB8KJrrBk
Unknown Author    (2026-06-16 02:53:10)
【詳細】 ★必須
この欄に「詳細」を記入してください。</t>
      </text>
    </comment>
    <comment authorId="0" ref="I573">
      <text>
        <t xml:space="preserve">======
ID#AAAB8KJrrDU
Unknown Author    (2026-06-16 02:53:10)
【頻度】 ★必須
この欄に「頻度」を記入してください。</t>
      </text>
    </comment>
    <comment authorId="0" ref="I284">
      <text>
        <t xml:space="preserve">======
ID#AAAB8KJrq_w
Unknown Author    (2026-06-16 02:53:10)
【認証方式】 ★必須
この欄に「認証方式」を記入してください。
※ 該当列が「○」の場合のみ入力可能です。</t>
      </text>
    </comment>
    <comment authorId="0" ref="I86">
      <text>
        <t xml:space="preserve">======
ID#AAAB8KJrrAI
Unknown Author    (2026-06-16 02:53:10)
【詳細】(任意)
この欄に「詳細」を記入してください。</t>
      </text>
    </comment>
    <comment authorId="0" ref="I20">
      <text>
        <t xml:space="preserve">======
ID#AAAB8KJrrA4
Unknown Author    (2026-06-16 02:53:10)
【サービス名】 ★必須
この欄に「サービス名」を記入してください。</t>
      </text>
    </comment>
    <comment authorId="0" ref="I466">
      <text>
        <t xml:space="preserve">======
ID#AAAB8KJrrA8
Unknown Author    (2026-06-16 02:53:10)
【詳細】 ★必須
この欄に「詳細」を記入してください。
※ 該当列が「○」の場合のみ入力可能です。</t>
      </text>
    </comment>
    <comment authorId="0" ref="I210">
      <text>
        <t xml:space="preserve">======
ID#AAAB8KJrrAc
Unknown Author    (2026-06-16 02:53:10)
【詳細】 ★必須
この欄に「詳細」を記入してください。</t>
      </text>
    </comment>
    <comment authorId="0" ref="I177">
      <text>
        <t xml:space="preserve">======
ID#AAAB8KJrq_4
Unknown Author    (2026-06-16 02:53:10)
【詳細】 ★必須
この欄に「詳細」を記入してください。</t>
      </text>
    </comment>
    <comment authorId="0" ref="I45">
      <text>
        <t xml:space="preserve">======
ID#AAAB8KJrq_s
Unknown Author    (2026-06-16 02:53:10)
【登録番号】 ★必須
この欄に「登録番号」を記入してください。
※ 該当列が「○」の場合のみ入力可能です。</t>
      </text>
    </comment>
    <comment authorId="0" ref="I301">
      <text>
        <t xml:space="preserve">======
ID#AAAB8KJrq_U
Unknown Author    (2026-06-16 02:53:10)
【パスワード長】 ★必須
この欄に「パスワード長」を記入してください。</t>
      </text>
    </comment>
    <comment authorId="0" ref="I12">
      <text>
        <t xml:space="preserve">======
ID#AAAB8KJrrCQ
Unknown Author    (2026-06-16 02:53:10)
【企業名】 ★必須
この欄に「企業名」を記入してください。</t>
      </text>
    </comment>
    <comment authorId="0" ref="J45">
      <text>
        <t xml:space="preserve">======
ID#AAAB8KJrq_A
Unknown Author    (2026-06-16 02:53:10)
【有効期限】 ★必須
この欄に「有効期限」を記入してください。
※ 該当列が「○」の場合のみ入力可能です。</t>
      </text>
    </comment>
    <comment authorId="0" ref="I491">
      <text>
        <t xml:space="preserve">======
ID#AAAB8KJrrAU
Unknown Author    (2026-06-16 02:53:10)
【詳細】 ★必須
この欄に「詳細」を記入してください。
※ 該当列が「○」の場合のみ入力可能です。</t>
      </text>
    </comment>
    <comment authorId="0" ref="I202">
      <text>
        <t xml:space="preserve">======
ID#AAAB8KJrrDY
Unknown Author    (2026-06-16 02:53:10)
【詳細】 ★必須
この欄に「詳細」を記入してください。</t>
      </text>
    </comment>
    <comment authorId="0" ref="I425">
      <text>
        <t xml:space="preserve">======
ID#AAAB8KJrrFI
Unknown Author    (2026-06-16 02:53:10)
【詳細】 ★必須
この欄に「詳細」を記入してください。</t>
      </text>
    </comment>
    <comment authorId="0" ref="I293">
      <text>
        <t xml:space="preserve">======
ID#AAAB8KJrrBc
Unknown Author    (2026-06-16 02:53:10)
【パスワード長、OTPの手段】 ★必須
この欄に「パスワード長、OTPの手段」を記入してください。</t>
      </text>
    </comment>
    <comment authorId="0" ref="I194">
      <text>
        <t xml:space="preserve">======
ID#AAAB8KJrrBE
Unknown Author    (2026-06-16 02:53:10)
【適用タイミング】 ★必須
この欄に「適用タイミング」を記入してください。
※ 該当列が「○」の場合のみ入力可能です。</t>
      </text>
    </comment>
    <comment authorId="0" ref="I161">
      <text>
        <t xml:space="preserve">======
ID#AAAB8KJrq9o
Unknown Author    (2026-06-16 02:53:10)
【詳細】 ★必須
この欄に「詳細」を記入してください。</t>
      </text>
    </comment>
    <comment authorId="0" ref="I62">
      <text>
        <t xml:space="preserve">======
ID#AAAB8KJrq9g
Unknown Author    (2026-06-16 02:53:10)
【詳細】 ★必須
この欄に「詳細」を記入してください。
※ 該当列が「○」の場合のみ入力可能です。</t>
      </text>
    </comment>
    <comment authorId="0" ref="I285">
      <text>
        <t xml:space="preserve">======
ID#AAAB8KJrrFA
Unknown Author    (2026-06-16 02:53:10)
【リスクベース認証として実施していること】 ★必須
この欄に「リスクベース認証として実施していること」を記入してください。
※ 該当列が「○」の場合のみ入力可能です。</t>
      </text>
    </comment>
    <comment authorId="0" ref="I120">
      <text>
        <t xml:space="preserve">======
ID#AAAB8KJrrFE
Unknown Author    (2026-06-16 02:53:10)
【頻度】 ★必須
この欄に「頻度」を記入してください。
※ 該当列が「○」の場合のみ入力可能です。</t>
      </text>
    </comment>
    <comment authorId="0" ref="J120">
      <text>
        <t xml:space="preserve">======
ID#AAAB8KJrq-A
Unknown Author    (2026-06-16 02:53:10)
【最終実施年月】 ★必須
この欄に「最終実施年月」を記入してください。
※ 該当列が「○」の場合のみ入力可能です。</t>
      </text>
    </comment>
    <comment authorId="0" ref="K120">
      <text>
        <t xml:space="preserve">======
ID#AAAB8KJrrDA
Unknown Author    (2026-06-16 02:53:10)
【教育のテーマやトピック】 ★必須
この欄に「教育のテーマやトピック」を記入してください。
※ 該当列が「○」の場合のみ入力可能です。</t>
      </text>
    </comment>
    <comment authorId="0" ref="I277">
      <text>
        <t xml:space="preserve">======
ID#AAAB8KJrrAo
Unknown Author    (2026-06-16 02:53:10)
【OTPの手段】 ★必須
この欄に「OTPの手段」を記入してください。</t>
      </text>
    </comment>
    <comment authorId="0" ref="I533">
      <text>
        <t xml:space="preserve">======
ID#AAAB8KJrrAY
Unknown Author    (2026-06-16 02:53:10)
【詳細】 ★必須
この欄に「詳細」を記入してください。
※ 該当列が「○」の場合のみ入力可能です。</t>
      </text>
    </comment>
    <comment authorId="0" ref="I434">
      <text>
        <t xml:space="preserve">======
ID#AAAB8KJrq-E
Unknown Author    (2026-06-16 02:53:10)
【最終実施年月】 ★必須
この欄に「最終実施年月」を記入してください。
※ 該当列が「○」の場合のみ入力可能です。</t>
      </text>
    </comment>
    <comment authorId="0" ref="I46">
      <text>
        <t xml:space="preserve">======
ID#AAAB8KJrrDw
Unknown Author    (2026-06-16 02:53:10)
【取得年月】 ★必須
この欄に「取得年月」を記入してください。
※ 該当列が「○」の場合のみ入力可能です。</t>
      </text>
    </comment>
    <comment authorId="0" ref="J46">
      <text>
        <t xml:space="preserve">======
ID#AAAB8KJrrCM
Unknown Author    (2026-06-16 02:53:10)
【評価日】 ★必須
この欄に「評価日」を記入してください。
※ 該当列が「○」の場合のみ入力可能です。</t>
      </text>
    </comment>
    <comment authorId="0" ref="I13">
      <text>
        <t xml:space="preserve">======
ID#AAAB8KJrq9I
Unknown Author    (2026-06-16 02:53:10)
【企業名】 ★必須
この欄に「企業名」を記入してください。</t>
      </text>
    </comment>
    <comment authorId="0" ref="K46">
      <text>
        <t xml:space="preserve">======
ID#AAAB8KJrrDc
Unknown Author    (2026-06-16 02:53:10)
【取得範囲】 ★必須
この欄に「取得範囲」を記入してください。
※ 該当列が「○」の場合のみ入力可能です。</t>
      </text>
    </comment>
    <comment authorId="0" ref="I203">
      <text>
        <t xml:space="preserve">======
ID#AAAB8KJrrDo
Unknown Author    (2026-06-16 02:53:10)
【詳細】 ★必須
この欄に「詳細」を記入してください。
※ 該当列が「○」の場合のみ入力可能です。</t>
      </text>
    </comment>
    <comment authorId="0" ref="I170">
      <text>
        <t xml:space="preserve">======
ID#AAAB8KJrrDI
Unknown Author    (2026-06-16 02:53:10)
【詳細】 ★必須
この欄に「詳細」を記入してください。</t>
      </text>
    </comment>
    <comment authorId="0" ref="I426">
      <text>
        <t xml:space="preserve">======
ID#AAAB8KJrrAM
Unknown Author    (2026-06-16 02:53:10)
【保管期間】 ★必須
この欄に「保管期間」を記入してください。
※ 該当列が「○」の場合のみ入力可能です。</t>
      </text>
    </comment>
    <comment authorId="0" ref="I294">
      <text>
        <t xml:space="preserve">======
ID#AAAB8KJrrCo
Unknown Author    (2026-06-16 02:53:10)
【パスワード長】 ★必須
この欄に「パスワード長」を記入してください。</t>
      </text>
    </comment>
    <comment authorId="0" ref="I5">
      <text>
        <t xml:space="preserve">======
ID#AAAB8KJrq9s
Unknown Author    (2026-06-16 02:53:10)
【企業名】 ★必須
この欄に「企業名」を記入してください。
※ 該当列が「○」の場合のみ入力可能です。</t>
      </text>
    </comment>
    <comment authorId="0" ref="I195">
      <text>
        <t xml:space="preserve">======
ID#AAAB8KJrrD0
Unknown Author    (2026-06-16 02:53:10)
【詳細】 ★必須
この欄に「詳細」を記入してください。
※ 該当列が「○」の場合のみ入力可能です。</t>
      </text>
    </comment>
    <comment authorId="0" ref="I418">
      <text>
        <t xml:space="preserve">======
ID#AAAB8KJrrBU
Unknown Author    (2026-06-16 02:53:10)
【詳細】 ★必須
この欄に「詳細」を記入してください。</t>
      </text>
    </comment>
    <comment authorId="0" ref="I129">
      <text>
        <t xml:space="preserve">======
ID#AAAB8KJrq-0
Unknown Author    (2026-06-16 02:53:10)
【詳細】 ★必須
この欄に「詳細」を記入してください。
※ 該当列が「○」の場合のみ入力可能です。</t>
      </text>
    </comment>
    <comment authorId="0" ref="I575">
      <text>
        <t xml:space="preserve">======
ID#AAAB8KJrrBw
Unknown Author    (2026-06-16 02:53:10)
【詳細】 ★必須
この欄に「詳細」を記入してください。</t>
      </text>
    </comment>
    <comment authorId="0" ref="I220">
      <text>
        <t xml:space="preserve">======
ID#AAAB8KJrq-I
Unknown Author    (2026-06-16 02:53:10)
【詳細】 ★必須
この欄に「詳細」を記入してください。
※ 該当列が「○」の場合のみ入力可能です。</t>
      </text>
    </comment>
    <comment authorId="0" ref="I187">
      <text>
        <t xml:space="preserve">======
ID#AAAB8KJrq_E
Unknown Author    (2026-06-16 02:53:10)
【詳細】 ★必須
この欄に「詳細」を記入してください。</t>
      </text>
    </comment>
    <comment authorId="0" ref="I410">
      <text>
        <t xml:space="preserve">======
ID#AAAB8KJrq-w
Unknown Author    (2026-06-16 02:53:10)
【詳細】 ★必須
この欄に「詳細」を記入してください。</t>
      </text>
    </comment>
    <comment authorId="0" ref="I121">
      <text>
        <t xml:space="preserve">======
ID#AAAB8KJrq-o
Unknown Author    (2026-06-16 02:53:10)
【頻度】 ★必須
この欄に「頻度」を記入してください。
※ 該当列が「○」の場合のみ入力可能です。</t>
      </text>
    </comment>
    <comment authorId="0" ref="J121">
      <text>
        <t xml:space="preserve">======
ID#AAAB8KJrrDk
Unknown Author    (2026-06-16 02:53:10)
【最終実施年月】 ★必須
この欄に「最終実施年月」を記入してください。
※ 該当列が「○」の場合のみ入力可能です。</t>
      </text>
    </comment>
    <comment authorId="0" ref="I55">
      <text>
        <t xml:space="preserve">======
ID#AAAB8KJrrCY
Unknown Author    (2026-06-16 02:53:10)
【詳細】 ★必須
この欄に「詳細」を記入してください。
※ 該当列が「○」の場合のみ入力可能です。</t>
      </text>
    </comment>
    <comment authorId="0" ref="K121">
      <text>
        <t xml:space="preserve">======
ID#AAAB8KJrq-Q
Unknown Author    (2026-06-16 02:53:10)
【内容】 ★必須
この欄に「内容」を記入してください。
※ 該当列が「○」の場合のみ入力可能です。</t>
      </text>
    </comment>
    <comment authorId="0" ref="I212">
      <text>
        <t xml:space="preserve">======
ID#AAAB8KJrrD4
Unknown Author    (2026-06-16 02:53:10)
【詳細】 ★必須
この欄に「詳細」を記入してください。
※ 該当列が「○」の場合のみ入力可能です。</t>
      </text>
    </comment>
    <comment authorId="0" ref="I47">
      <text>
        <t xml:space="preserve">======
ID#AAAB8KJrrEw
Unknown Author    (2026-06-16 02:53:10)
【取得年月】 ★必須
この欄に「取得年月」を記入してください。
※ 該当列が「○」の場合のみ入力可能です。</t>
      </text>
    </comment>
    <comment authorId="0" ref="I303">
      <text>
        <t xml:space="preserve">======
ID#AAAB8KJrrFM
Unknown Author    (2026-06-16 02:53:10)
【認証の手段や要素（例：パスワードと虹彩を用いた生体認証）】 ★必須
この欄に「認証の手段や要素（例：パスワードと虹彩を用いた生体認証）」を記入してください。</t>
      </text>
    </comment>
    <comment authorId="0" ref="I14">
      <text>
        <t xml:space="preserve">======
ID#AAAB8KJrrEY
Unknown Author    (2026-06-16 02:53:10)
【企業名】 ★必須
この欄に「企業名」を記入してください。</t>
      </text>
    </comment>
    <comment authorId="0" ref="I270">
      <text>
        <t xml:space="preserve">======
ID#AAAB8KJrrDs
Unknown Author    (2026-06-16 02:53:10)
【最小の文字数】 ★必須
この欄に「最小の文字数」を記入してください。</t>
      </text>
    </comment>
    <comment authorId="0" ref="J47">
      <text>
        <t xml:space="preserve">======
ID#AAAB8KJrrCs
Unknown Author    (2026-06-16 02:53:10)
【対象期間】 ★必須
この欄に「対象期間」を記入してください。
※ 該当列が「○」の場合のみ入力可能です。</t>
      </text>
    </comment>
    <comment authorId="0" ref="K47">
      <text>
        <t xml:space="preserve">======
ID#AAAB8KJrrEQ
Unknown Author    (2026-06-16 02:53:10)
【取得範囲】 ★必須
この欄に「取得範囲」を記入してください。
※ 該当列が「○」の場合のみ入力可能です。</t>
      </text>
    </comment>
    <comment authorId="0" ref="I427">
      <text>
        <t xml:space="preserve">======
ID#AAAB8KJrq9k
Unknown Author    (2026-06-16 02:53:10)
【保管期間】 ★必須
この欄に「保管期間」を記入してください。
※ 該当列が「○」の場合のみ入力可能です。</t>
      </text>
    </comment>
    <comment authorId="0" ref="I584">
      <text>
        <t xml:space="preserve">======
ID#AAAB8KJrq-U
Unknown Author    (2026-06-16 02:53:10)
【詳細】 ★必須
この欄に「詳細」を記入してください。</t>
      </text>
    </comment>
    <comment authorId="0" ref="I295">
      <text>
        <t xml:space="preserve">======
ID#AAAB8KJrq_Y
Unknown Author    (2026-06-16 02:53:10)
【パスワード長】 ★必須
この欄に「パスワード長」を記入してください。</t>
      </text>
    </comment>
    <comment authorId="0" ref="I262">
      <text>
        <t xml:space="preserve">======
ID#AAAB8KJrrBg
Unknown Author    (2026-06-16 02:53:10)
【詳細】 ★必須
この欄に「詳細」を記入してください。
※ 該当列が「○」の場合のみ入力可能です。</t>
      </text>
    </comment>
    <comment authorId="0" ref="I6">
      <text>
        <t xml:space="preserve">======
ID#AAAB8KJrq-Y
Unknown Author    (2026-06-16 02:53:10)
【サービス名】 ★必須
この欄に「サービス名」を記入してください。
※ 該当列が「○」の場合のみ入力可能です。</t>
      </text>
    </comment>
    <comment authorId="0" ref="I419">
      <text>
        <t xml:space="preserve">======
ID#AAAB8KJrrBY
Unknown Author    (2026-06-16 02:53:10)
【頻度】 ★必須
この欄に「頻度」を記入してください。
※ 該当列が「○」の場合のみ入力可能です。</t>
      </text>
    </comment>
    <comment authorId="0" ref="J419">
      <text>
        <t xml:space="preserve">======
ID#AAAB8KJrrEc
Unknown Author    (2026-06-16 02:53:10)
【最終実施年月】 ★必須
この欄に「最終実施年月」を記入してください。
※ 該当列が「○」の場合のみ入力可能です。</t>
      </text>
    </comment>
    <comment authorId="0" ref="I444">
      <text>
        <t xml:space="preserve">======
ID#AAAB8KJrrB0
Unknown Author    (2026-06-16 02:53:10)
【最終実施年月】 ★必須
この欄に「最終実施年月」を記入してください。
※ 該当列が「○」の場合のみ入力可能です。</t>
      </text>
    </comment>
    <comment authorId="0" ref="I411">
      <text>
        <t xml:space="preserve">======
ID#AAAB8KJrrAA
Unknown Author    (2026-06-16 02:53:10)
【詳細】 ★必須
この欄に「詳細」を記入してください。
※ 該当列が「○」の場合のみ入力可能です。</t>
      </text>
    </comment>
    <comment authorId="0" ref="I122">
      <text>
        <t xml:space="preserve">======
ID#AAAB8KJrrAw
Unknown Author    (2026-06-16 02:53:10)
【詳細】 ★必須
この欄に「詳細」を記入してください。
※ 該当列が「○」の場合のみ入力可能です。</t>
      </text>
    </comment>
    <comment authorId="0" ref="I568">
      <text>
        <t xml:space="preserve">======
ID#AAAB8KJrq_o
Unknown Author    (2026-06-16 02:53:10)
【詳細】 ★必須
この欄に「詳細」を記入してください。
※ 該当列が「○」の場合のみ入力可能です。</t>
      </text>
    </comment>
    <comment authorId="0" ref="I23">
      <text>
        <t xml:space="preserve">======
ID#AAAB8KJrrE8
Unknown Author    (2026-06-16 02:53:10)
【企業名】 ★必須
この欄に「企業名」を記入してください。
※ 該当列が「○」の場合のみ入力可能です。</t>
      </text>
    </comment>
    <comment authorId="0" ref="I279">
      <text>
        <t xml:space="preserve">======
ID#AAAB8KJrrCE
Unknown Author    (2026-06-16 02:53:10)
【パスワード長、OTPの手段】 ★必須
この欄に「パスワード長、OTPの手段」を記入してください。</t>
      </text>
    </comment>
    <comment authorId="0" ref="I114">
      <text>
        <t xml:space="preserve">======
ID#AAAB8KJrq98
Unknown Author    (2026-06-16 02:53:10)
【詳細】 ★必須
この欄に「詳細」を記入してください。</t>
      </text>
    </comment>
    <comment authorId="0" ref="I370">
      <text>
        <t xml:space="preserve">======
ID#AAAB8KJrq9M
Unknown Author    (2026-06-16 02:53:10)
【詳細】 ★必須
この欄に「詳細」を記入してください。</t>
      </text>
    </comment>
    <comment authorId="0" ref="I48">
      <text>
        <t xml:space="preserve">======
ID#AAAB8KJrq-k
Unknown Author    (2026-06-16 02:53:10)
【登録番号】 ★必須
この欄に「登録番号」を記入してください。
※ 該当列が「○」の場合のみ入力可能です。</t>
      </text>
    </comment>
    <comment authorId="0" ref="J48">
      <text>
        <t xml:space="preserve">======
ID#AAAB8KJrrEE
Unknown Author    (2026-06-16 02:53:10)
【有効期限】 ★必須
この欄に「有効期限」を記入してください。
※ 該当列が「○」の場合のみ入力可能です。</t>
      </text>
    </comment>
    <comment authorId="0" ref="I461">
      <text>
        <t xml:space="preserve">======
ID#AAAB8KJrrE0
Unknown Author    (2026-06-16 02:53:10)
【詳細】 ★必須
この欄に「詳細」を記入してください。
※ 該当列が「○」の場合のみ入力可能です。</t>
      </text>
    </comment>
    <comment authorId="0" ref="I230">
      <text>
        <t xml:space="preserve">======
ID#AAAB8KJrrCA
Unknown Author    (2026-06-16 02:53:10)
【詳細】 ★必須
この欄に「詳細」を記入してください。</t>
      </text>
    </comment>
    <comment authorId="0" ref="I486">
      <text>
        <t xml:space="preserve">======
ID#AAAB8KJrrB4
Unknown Author    (2026-06-16 02:53:10)
【詳細】 ★必須
この欄に「詳細」を記入してください。</t>
      </text>
    </comment>
    <comment authorId="0" ref="I354">
      <text>
        <t xml:space="preserve">======
ID#AAAB8KJrq-4
Unknown Author    (2026-06-16 02:53:10)
【詳細】 ★必須
この欄に「詳細」を記入してください。
※ 該当列が「○」の場合のみ入力可能です。</t>
      </text>
    </comment>
    <comment authorId="0" ref="I321">
      <text>
        <t xml:space="preserve">======
ID#AAAB8KJrrD8
Unknown Author    (2026-06-16 02:53:10)
【詳細】 ★必須
この欄に「詳細」を記入してください。
※ 該当列が「○」の場合のみ入力可能です。</t>
      </text>
    </comment>
    <comment authorId="0" ref="I189">
      <text>
        <t xml:space="preserve">======
ID#AAAB8KJrq_Q
Unknown Author    (2026-06-16 02:53:10)
【詳細】 ★必須
この欄に「詳細」を記入してください。
※ 該当列が「○」の場合のみ入力可能です。</t>
      </text>
    </comment>
    <comment authorId="0" ref="I313">
      <text>
        <t xml:space="preserve">======
ID#AAAB8KJrrDM
Unknown Author    (2026-06-16 02:53:10)
【詳細】 ★必須
この欄に「詳細」を記入してください。
※ 該当列が「○」の場合のみ入力可能です。</t>
      </text>
    </comment>
    <comment authorId="0" ref="I280">
      <text>
        <t xml:space="preserve">======
ID#AAAB8KJrrDQ
Unknown Author    (2026-06-16 02:53:10)
【パスワード長】 ★必須
この欄に「パスワード長」を記入してください。</t>
      </text>
    </comment>
    <comment authorId="0" ref="I24">
      <text>
        <t xml:space="preserve">======
ID#AAAB8KJrq-s
Unknown Author    (2026-06-16 02:53:10)
【サービス名】 ★必須
この欄に「サービス名」を記入してください。
※ 該当列が「○」の場合のみ入力可能です。</t>
      </text>
    </comment>
    <comment authorId="0" ref="I181">
      <text>
        <t xml:space="preserve">======
ID#AAAB8KJrrAQ
Unknown Author    (2026-06-16 02:53:10)
【詳細】 ★必須
この欄に「詳細」を記入してください。</t>
      </text>
    </comment>
    <comment authorId="0" ref="I305">
      <text>
        <t xml:space="preserve">======
ID#AAAB8KJrrCU
Unknown Author    (2026-06-16 02:53:10)
【パスワード長】 ★必須
この欄に「パスワード長」を記入してください。</t>
      </text>
    </comment>
    <comment authorId="0" ref="I49">
      <text>
        <t xml:space="preserve">======
ID#AAAB8KJrq9Y
Unknown Author    (2026-06-16 02:53:10)
【登録番号】 ★必須
この欄に「登録番号」を記入してください。
※ 該当列が「○」の場合のみ入力可能です。</t>
      </text>
    </comment>
    <comment authorId="0" ref="I16">
      <text>
        <t xml:space="preserve">======
ID#AAAB8KJrrEo
Unknown Author    (2026-06-16 02:53:10)
【サービス名】 ★必須
この欄に「サービス名」を記入してください。</t>
      </text>
    </comment>
    <comment authorId="0" ref="I272">
      <text>
        <t xml:space="preserve">======
ID#AAAB8KJrrEk
Unknown Author    (2026-06-16 02:53:10)
【詳細】 ★必須
この欄に「詳細」を記入してください。</t>
      </text>
    </comment>
    <comment authorId="0" ref="J49">
      <text>
        <t xml:space="preserve">======
ID#AAAB8KJrq_g
Unknown Author    (2026-06-16 02:53:10)
【有効期限】 ★必須
この欄に「有効期限」を記入してください。
※ 該当列が「○」の場合のみ入力可能です。</t>
      </text>
    </comment>
    <comment authorId="0" ref="I297">
      <text>
        <t xml:space="preserve">======
ID#AAAB8KJrrAE
Unknown Author    (2026-06-16 02:53:10)
【認証の手段や要素（例：パスワードと虹彩を用いた生体認証）】 ★必須
この欄に「認証の手段や要素（例：パスワードと虹彩を用いた生体認証）」を記入してください。</t>
      </text>
    </comment>
    <comment authorId="0" ref="I157">
      <text>
        <t xml:space="preserve">======
ID#AAAB8KJrrBI
Unknown Author    (2026-06-16 02:53:10)
【詳細】 ★必須
この欄に「詳細」を記入してください。</t>
      </text>
    </comment>
    <comment authorId="0" ref="I281">
      <text>
        <t xml:space="preserve">======
ID#AAAB8KJrrEA
Unknown Author    (2026-06-16 02:53:10)
【パスワード長】 ★必須
この欄に「パスワード長」を記入してください。</t>
      </text>
    </comment>
    <comment authorId="0" ref="I438">
      <text>
        <t xml:space="preserve">======
ID#AAAB8KJrrA0
Unknown Author    (2026-06-16 02:53:10)
【最終実施年月】 ★必須
この欄に「最終実施年月」を記入してください。
※ 該当列が「○」の場合のみ入力可能です。</t>
      </text>
    </comment>
    <comment authorId="0" ref="I149">
      <text>
        <t xml:space="preserve">======
ID#AAAB8KJrrDE
Unknown Author    (2026-06-16 02:53:10)
【詳細】 ★必須
この欄に「詳細」を記入してください。</t>
      </text>
    </comment>
    <comment authorId="0" ref="I306">
      <text>
        <t xml:space="preserve">======
ID#AAAB8KJrq-g
Unknown Author    (2026-06-16 02:53:10)
【認証方法を記載してください】 ★必須
この欄に「認証方法を記載してください」を記入してください。</t>
      </text>
    </comment>
    <comment authorId="0" ref="I50">
      <text>
        <t xml:space="preserve">======
ID#AAAB8KJrq9w
Unknown Author    (2026-06-16 02:53:10)
【Tiers (1-4)】(任意)
この欄に「Tiers (1-4)」を記入してください。
※ 該当列が「○」の場合のみ入力可能です。</t>
      </text>
    </comment>
    <comment authorId="0" ref="I17">
      <text>
        <t xml:space="preserve">======
ID#AAAB8KJrrBs
Unknown Author    (2026-06-16 02:53:10)
【サービス名】 ★必須
この欄に「サービス名」を記入してください。</t>
      </text>
    </comment>
    <comment authorId="0" ref="I430">
      <text>
        <t xml:space="preserve">======
ID#AAAB8KJrrCc
Unknown Author    (2026-06-16 02:53:10)
【最終実施年月】 ★必須
この欄に「最終実施年月」を記入してください。
※ 該当列が「○」の場合のみ入力可能です。</t>
      </text>
    </comment>
    <comment authorId="0" ref="I42">
      <text>
        <t xml:space="preserve">======
ID#AAAB8KJrq9E
Unknown Author    (2026-06-16 02:53:10)
【登録番号】 ★必須
この欄に「登録番号」を記入してください。
※ 該当列が「○」の場合のみ入力可能です。</t>
      </text>
    </comment>
  </commentList>
  <extLst>
    <ext uri="GoogleSheetsCustomDataVersion2">
      <go:sheetsCustomData xmlns:go="http://customooxmlschemas.google.com/" r:id="rId1" roundtripDataSignature="AMtx7mh4lbIuk+NqaqhS7zTI7pJhJ52prw=="/>
    </ext>
  </extLst>
</comments>
</file>

<file path=xl/sharedStrings.xml><?xml version="1.0" encoding="utf-8"?>
<sst xmlns="http://schemas.openxmlformats.org/spreadsheetml/2006/main" count="2841" uniqueCount="1222">
  <si>
    <r>
      <rPr>
        <rFont val="游ゴシック"/>
        <b/>
        <color rgb="FF1F4E78"/>
        <sz val="14.0"/>
      </rPr>
      <t>Assured</t>
    </r>
    <r>
      <rPr>
        <rFont val="Noto Sans CJK SC"/>
        <b/>
        <color rgb="FF1F4E78"/>
        <sz val="14.0"/>
      </rPr>
      <t>企業評価 回答下書きシート</t>
    </r>
  </si>
  <si>
    <r>
      <rPr>
        <rFont val="Noto Sans CJK SC"/>
        <color rgb="FF666666"/>
        <sz val="9.0"/>
      </rPr>
      <t>凡例</t>
    </r>
    <r>
      <rPr>
        <rFont val="游ゴシック"/>
        <color rgb="FF666666"/>
        <sz val="9.0"/>
      </rPr>
      <t xml:space="preserve">: </t>
    </r>
    <r>
      <rPr>
        <rFont val="Noto Sans CJK SC"/>
        <color rgb="FF666666"/>
        <sz val="9.0"/>
      </rPr>
      <t>該当</t>
    </r>
    <r>
      <rPr>
        <rFont val="游ゴシック"/>
        <color rgb="FF666666"/>
        <sz val="9.0"/>
      </rPr>
      <t xml:space="preserve">=○ / </t>
    </r>
    <r>
      <rPr>
        <rFont val="Noto Sans CJK SC"/>
        <color rgb="FF666666"/>
        <sz val="9.0"/>
      </rPr>
      <t>非該当</t>
    </r>
    <r>
      <rPr>
        <rFont val="游ゴシック"/>
        <color rgb="FF666666"/>
        <sz val="9.0"/>
      </rPr>
      <t xml:space="preserve">=× / </t>
    </r>
    <r>
      <rPr>
        <rFont val="Noto Sans CJK SC"/>
        <color rgb="FF666666"/>
        <sz val="9.0"/>
      </rPr>
      <t>「状態」列が「✖ 回答不要」の設問は記入不要</t>
    </r>
    <r>
      <rPr>
        <rFont val="游ゴシック"/>
        <color rgb="FF666666"/>
        <sz val="9.0"/>
      </rPr>
      <t>(</t>
    </r>
    <r>
      <rPr>
        <rFont val="Noto Sans CJK SC"/>
        <color rgb="FF666666"/>
        <sz val="9.0"/>
      </rPr>
      <t>設問文・選択肢にも【回答不要】が前置されます</t>
    </r>
    <r>
      <rPr>
        <rFont val="游ゴシック"/>
        <color rgb="FF666666"/>
        <sz val="9.0"/>
      </rPr>
      <t>)</t>
    </r>
  </si>
  <si>
    <t>No</t>
  </si>
  <si>
    <t>状態</t>
  </si>
  <si>
    <t>大カテゴリ</t>
  </si>
  <si>
    <t>カテゴリ</t>
  </si>
  <si>
    <t>設問コード</t>
  </si>
  <si>
    <t>設問文</t>
  </si>
  <si>
    <t>選択肢</t>
  </si>
  <si>
    <t>該当</t>
  </si>
  <si>
    <r>
      <rPr>
        <rFont val="Noto Sans CJK SC"/>
        <b/>
        <color rgb="FFFFFFFF"/>
        <sz val="11.0"/>
      </rPr>
      <t>詳細</t>
    </r>
    <r>
      <rPr>
        <rFont val="游ゴシック"/>
        <b/>
        <color rgb="FFFFFFFF"/>
        <sz val="11.0"/>
      </rPr>
      <t>1</t>
    </r>
  </si>
  <si>
    <r>
      <rPr>
        <rFont val="Noto Sans CJK SC"/>
        <b/>
        <color rgb="FFFFFFFF"/>
        <sz val="11.0"/>
      </rPr>
      <t>詳細</t>
    </r>
    <r>
      <rPr>
        <rFont val="游ゴシック"/>
        <b/>
        <color rgb="FFFFFFFF"/>
        <sz val="11.0"/>
      </rPr>
      <t>2</t>
    </r>
  </si>
  <si>
    <r>
      <rPr>
        <rFont val="Noto Sans CJK SC"/>
        <b/>
        <color rgb="FFFFFFFF"/>
        <sz val="11.0"/>
      </rPr>
      <t>詳細</t>
    </r>
    <r>
      <rPr>
        <rFont val="游ゴシック"/>
        <b/>
        <color rgb="FFFFFFFF"/>
        <sz val="11.0"/>
      </rPr>
      <t>3</t>
    </r>
  </si>
  <si>
    <r>
      <rPr>
        <rFont val="Noto Sans CJK SC"/>
        <b/>
        <color rgb="FFFFFFFF"/>
        <sz val="11.0"/>
      </rPr>
      <t>自由記述</t>
    </r>
    <r>
      <rPr>
        <rFont val="游ゴシック"/>
        <b/>
        <color rgb="FFFFFFFF"/>
        <sz val="11.0"/>
      </rPr>
      <t>/</t>
    </r>
    <r>
      <rPr>
        <rFont val="Noto Sans CJK SC"/>
        <b/>
        <color rgb="FFFFFFFF"/>
        <sz val="11.0"/>
      </rPr>
      <t>補足</t>
    </r>
  </si>
  <si>
    <r>
      <rPr>
        <rFont val="Noto Sans CJK SC"/>
        <b/>
        <color rgb="FFFFFFFF"/>
        <sz val="11.0"/>
      </rPr>
      <t>判定</t>
    </r>
    <r>
      <rPr>
        <rFont val="游ゴシック"/>
        <b/>
        <color rgb="FFFFFFFF"/>
        <sz val="11.0"/>
      </rPr>
      <t>(</t>
    </r>
    <r>
      <rPr>
        <rFont val="Noto Sans CJK SC"/>
        <b/>
        <color rgb="FFFFFFFF"/>
        <sz val="11.0"/>
      </rPr>
      <t>内部</t>
    </r>
    <r>
      <rPr>
        <rFont val="游ゴシック"/>
        <b/>
        <color rgb="FFFFFFFF"/>
        <sz val="11.0"/>
      </rPr>
      <t>)</t>
    </r>
  </si>
  <si>
    <r>
      <rPr>
        <rFont val="Arial"/>
        <color theme="1"/>
        <sz val="10.0"/>
      </rPr>
      <t>SCM</t>
    </r>
    <r>
      <rPr>
        <rFont val="Arial"/>
        <color theme="1"/>
        <sz val="10.0"/>
      </rPr>
      <t>リスト</t>
    </r>
  </si>
  <si>
    <t>サプライチェーン管理</t>
  </si>
  <si>
    <t>SM-1</t>
  </si>
  <si>
    <r>
      <rPr>
        <rFont val="Arial"/>
        <color theme="1"/>
        <sz val="10.0"/>
      </rPr>
      <t>SCM</t>
    </r>
    <r>
      <rPr>
        <rFont val="Arial"/>
        <color theme="1"/>
        <sz val="10.0"/>
      </rPr>
      <t>リスト</t>
    </r>
  </si>
  <si>
    <t>SM-2</t>
  </si>
  <si>
    <r>
      <rPr>
        <rFont val="Arial"/>
        <color theme="1"/>
        <sz val="10.0"/>
      </rPr>
      <t>SCM</t>
    </r>
    <r>
      <rPr>
        <rFont val="Arial"/>
        <color theme="1"/>
        <sz val="10.0"/>
      </rPr>
      <t>リスト</t>
    </r>
  </si>
  <si>
    <t>SM-3</t>
  </si>
  <si>
    <r>
      <rPr>
        <rFont val="Arial"/>
        <color theme="1"/>
        <sz val="10.0"/>
      </rPr>
      <t>SCM</t>
    </r>
    <r>
      <rPr>
        <rFont val="Arial"/>
        <color theme="1"/>
        <sz val="10.0"/>
      </rPr>
      <t>リスト</t>
    </r>
  </si>
  <si>
    <t>SM-4</t>
  </si>
  <si>
    <r>
      <rPr>
        <rFont val="Arial"/>
        <color theme="1"/>
        <sz val="10.0"/>
      </rPr>
      <t>SCM</t>
    </r>
    <r>
      <rPr>
        <rFont val="Arial"/>
        <color theme="1"/>
        <sz val="10.0"/>
      </rPr>
      <t>リスト</t>
    </r>
  </si>
  <si>
    <t>SM-5</t>
  </si>
  <si>
    <r>
      <rPr>
        <rFont val="Arial"/>
        <color theme="1"/>
        <sz val="10.0"/>
      </rPr>
      <t>SCM</t>
    </r>
    <r>
      <rPr>
        <rFont val="Arial"/>
        <color theme="1"/>
        <sz val="10.0"/>
      </rPr>
      <t>リスト</t>
    </r>
  </si>
  <si>
    <t>SM-6</t>
  </si>
  <si>
    <r>
      <rPr>
        <rFont val="Arial"/>
        <color theme="1"/>
        <sz val="10.0"/>
      </rPr>
      <t>SCM</t>
    </r>
    <r>
      <rPr>
        <rFont val="Arial"/>
        <color theme="1"/>
        <sz val="10.0"/>
      </rPr>
      <t>リスト</t>
    </r>
  </si>
  <si>
    <t>SM-7</t>
  </si>
  <si>
    <t>評価リスト</t>
  </si>
  <si>
    <t>第三者認証</t>
  </si>
  <si>
    <t>CT-1</t>
  </si>
  <si>
    <t>履歴</t>
  </si>
  <si>
    <t>HS-1</t>
  </si>
  <si>
    <t>法律</t>
  </si>
  <si>
    <t>LG-1</t>
  </si>
  <si>
    <t>情報セキュリティ確保のための組織体制</t>
  </si>
  <si>
    <t>OR-1</t>
  </si>
  <si>
    <t>OR-2</t>
  </si>
  <si>
    <t>OR-3</t>
  </si>
  <si>
    <t>OR-4</t>
  </si>
  <si>
    <t>インシデント管理</t>
  </si>
  <si>
    <t>IM-1</t>
  </si>
  <si>
    <t>IM-2</t>
  </si>
  <si>
    <t>従業員に対するセキュリティ対策</t>
  </si>
  <si>
    <t>EM-1</t>
  </si>
  <si>
    <t>EM-2</t>
  </si>
  <si>
    <t>情報資産管理</t>
  </si>
  <si>
    <t>AS-1</t>
  </si>
  <si>
    <t>AS-2</t>
  </si>
  <si>
    <t>AS-3</t>
  </si>
  <si>
    <t>AS-4</t>
  </si>
  <si>
    <t>AS-5</t>
  </si>
  <si>
    <r>
      <rPr>
        <rFont val="游ゴシック"/>
        <color theme="1"/>
        <sz val="10.0"/>
      </rPr>
      <t>OA</t>
    </r>
    <r>
      <rPr>
        <rFont val="Noto Sans CJK SC"/>
        <color theme="1"/>
        <sz val="10.0"/>
      </rPr>
      <t>端末のセキュリティ</t>
    </r>
  </si>
  <si>
    <t>OA-1</t>
  </si>
  <si>
    <r>
      <rPr>
        <rFont val="游ゴシック"/>
        <color theme="1"/>
        <sz val="10.0"/>
      </rPr>
      <t>OA</t>
    </r>
    <r>
      <rPr>
        <rFont val="Noto Sans CJK SC"/>
        <color theme="1"/>
        <sz val="10.0"/>
      </rPr>
      <t>端末のセキュリティ</t>
    </r>
  </si>
  <si>
    <t>OA-2</t>
  </si>
  <si>
    <r>
      <rPr>
        <rFont val="游ゴシック"/>
        <color theme="1"/>
        <sz val="10.0"/>
      </rPr>
      <t>OA</t>
    </r>
    <r>
      <rPr>
        <rFont val="Noto Sans CJK SC"/>
        <color theme="1"/>
        <sz val="10.0"/>
      </rPr>
      <t>端末のセキュリティ</t>
    </r>
  </si>
  <si>
    <t>OA-3</t>
  </si>
  <si>
    <r>
      <rPr>
        <rFont val="游ゴシック"/>
        <color theme="1"/>
        <sz val="10.0"/>
      </rPr>
      <t>OA</t>
    </r>
    <r>
      <rPr>
        <rFont val="Noto Sans CJK SC"/>
        <color theme="1"/>
        <sz val="10.0"/>
      </rPr>
      <t>端末のセキュリティ</t>
    </r>
  </si>
  <si>
    <t>OA-4</t>
  </si>
  <si>
    <r>
      <rPr>
        <rFont val="游ゴシック"/>
        <color theme="1"/>
        <sz val="10.0"/>
      </rPr>
      <t>OA</t>
    </r>
    <r>
      <rPr>
        <rFont val="Noto Sans CJK SC"/>
        <color theme="1"/>
        <sz val="10.0"/>
      </rPr>
      <t>端末のセキュリティ</t>
    </r>
  </si>
  <si>
    <t>OA-5</t>
  </si>
  <si>
    <r>
      <rPr>
        <rFont val="游ゴシック"/>
        <color theme="1"/>
        <sz val="10.0"/>
      </rPr>
      <t>OA</t>
    </r>
    <r>
      <rPr>
        <rFont val="Noto Sans CJK SC"/>
        <color theme="1"/>
        <sz val="10.0"/>
      </rPr>
      <t>端末のセキュリティ</t>
    </r>
  </si>
  <si>
    <t>OA-6</t>
  </si>
  <si>
    <r>
      <rPr>
        <rFont val="游ゴシック"/>
        <color theme="1"/>
        <sz val="10.0"/>
      </rPr>
      <t>OA</t>
    </r>
    <r>
      <rPr>
        <rFont val="Noto Sans CJK SC"/>
        <color theme="1"/>
        <sz val="10.0"/>
      </rPr>
      <t>端末のセキュリティ</t>
    </r>
  </si>
  <si>
    <t>OA-7</t>
  </si>
  <si>
    <r>
      <rPr>
        <rFont val="游ゴシック"/>
        <color theme="1"/>
        <sz val="10.0"/>
      </rPr>
      <t>OA</t>
    </r>
    <r>
      <rPr>
        <rFont val="Noto Sans CJK SC"/>
        <color theme="1"/>
        <sz val="10.0"/>
      </rPr>
      <t>端末のセキュリティ</t>
    </r>
  </si>
  <si>
    <t>OA-8</t>
  </si>
  <si>
    <r>
      <rPr>
        <rFont val="游ゴシック"/>
        <color theme="1"/>
        <sz val="10.0"/>
      </rPr>
      <t>OA</t>
    </r>
    <r>
      <rPr>
        <rFont val="Noto Sans CJK SC"/>
        <color theme="1"/>
        <sz val="10.0"/>
      </rPr>
      <t>端末のセキュリティ</t>
    </r>
  </si>
  <si>
    <t>OA-9</t>
  </si>
  <si>
    <r>
      <rPr>
        <rFont val="游ゴシック"/>
        <color theme="1"/>
        <sz val="10.0"/>
      </rPr>
      <t>OA</t>
    </r>
    <r>
      <rPr>
        <rFont val="Noto Sans CJK SC"/>
        <color theme="1"/>
        <sz val="10.0"/>
      </rPr>
      <t>端末のセキュリティ</t>
    </r>
  </si>
  <si>
    <t>OA-10</t>
  </si>
  <si>
    <t>アクセス制御</t>
  </si>
  <si>
    <t>AC-1</t>
  </si>
  <si>
    <t>AC-2</t>
  </si>
  <si>
    <t>AC-3</t>
  </si>
  <si>
    <t>AC-4</t>
  </si>
  <si>
    <t>AC-5</t>
  </si>
  <si>
    <t>AC-6</t>
  </si>
  <si>
    <t>AC-7</t>
  </si>
  <si>
    <t>AC-8</t>
  </si>
  <si>
    <t>AC-9</t>
  </si>
  <si>
    <t>AC-10</t>
  </si>
  <si>
    <t>AC-11</t>
  </si>
  <si>
    <t>AC-12</t>
  </si>
  <si>
    <t>AC-13</t>
  </si>
  <si>
    <t>AC-14</t>
  </si>
  <si>
    <t>AC-15</t>
  </si>
  <si>
    <t>暗号化</t>
  </si>
  <si>
    <t>CR-1</t>
  </si>
  <si>
    <t>物理及び環境的セキュリティ</t>
  </si>
  <si>
    <t>PH-1</t>
  </si>
  <si>
    <t>PH-2</t>
  </si>
  <si>
    <t>PH-3</t>
  </si>
  <si>
    <t>PH-4</t>
  </si>
  <si>
    <t>PH-5</t>
  </si>
  <si>
    <t>運用のセキュリティ</t>
  </si>
  <si>
    <t>OP-1</t>
  </si>
  <si>
    <t>OP-2</t>
  </si>
  <si>
    <t>OP-3</t>
  </si>
  <si>
    <t>OP-4</t>
  </si>
  <si>
    <t>OP-5</t>
  </si>
  <si>
    <t>OP-6</t>
  </si>
  <si>
    <t>OP-7</t>
  </si>
  <si>
    <t>監視</t>
  </si>
  <si>
    <t>MN-1</t>
  </si>
  <si>
    <t>ネットワークのセキュリティ</t>
  </si>
  <si>
    <t>NW-1</t>
  </si>
  <si>
    <t>NW-2</t>
  </si>
  <si>
    <t>NW-3</t>
  </si>
  <si>
    <t>NW-4</t>
  </si>
  <si>
    <t>NW-5</t>
  </si>
  <si>
    <t>NW-6</t>
  </si>
  <si>
    <t>NW-7</t>
  </si>
  <si>
    <t>システムの取得、開発及び保守</t>
  </si>
  <si>
    <t>SY-1</t>
  </si>
  <si>
    <t>SY-2</t>
  </si>
  <si>
    <t>事業継続マネジメントにおける情報セキュリティ</t>
  </si>
  <si>
    <t>BC-1</t>
  </si>
  <si>
    <t>BC-2</t>
  </si>
  <si>
    <t>外部委託先管理</t>
  </si>
  <si>
    <t>OS-1</t>
  </si>
  <si>
    <t>OS-2</t>
  </si>
  <si>
    <t>OS-3</t>
  </si>
  <si>
    <t>OS-4</t>
  </si>
  <si>
    <t>凡例・見方</t>
  </si>
  <si>
    <t>回答シートの記号・列の意味のまとめ。</t>
  </si>
  <si>
    <r>
      <rPr>
        <rFont val="Noto Sans CJK SC"/>
        <b/>
        <color rgb="FFFFFFFF"/>
        <sz val="12.0"/>
      </rPr>
      <t>① 「状態」列</t>
    </r>
    <r>
      <rPr>
        <rFont val="游ゴシック"/>
        <b/>
        <color rgb="FFFFFFFF"/>
        <sz val="12.0"/>
      </rPr>
      <t>(B</t>
    </r>
    <r>
      <rPr>
        <rFont val="Noto Sans CJK SC"/>
        <b/>
        <color rgb="FFFFFFFF"/>
        <sz val="12.0"/>
      </rPr>
      <t>列</t>
    </r>
    <r>
      <rPr>
        <rFont val="游ゴシック"/>
        <b/>
        <color rgb="FFFFFFFF"/>
        <sz val="12.0"/>
      </rPr>
      <t>)</t>
    </r>
    <r>
      <rPr>
        <rFont val="Noto Sans CJK SC"/>
        <b/>
        <color rgb="FFFFFFFF"/>
        <sz val="12.0"/>
      </rPr>
      <t>の表示</t>
    </r>
  </si>
  <si>
    <t>要回答</t>
  </si>
  <si>
    <t>この設問は回答が必要です。通常通り選択肢を選んで回答してください。</t>
  </si>
  <si>
    <t>✖ 回答不要</t>
  </si>
  <si>
    <t>親設問の回答により、この設問は回答不要となっています。スキップしてください。</t>
  </si>
  <si>
    <r>
      <rPr>
        <rFont val="游ゴシック"/>
        <color theme="1"/>
        <sz val="10.0"/>
      </rPr>
      <t>(</t>
    </r>
    <r>
      <rPr>
        <rFont val="Noto Sans CJK SC"/>
        <color theme="1"/>
        <sz val="10.0"/>
      </rPr>
      <t>空欄</t>
    </r>
    <r>
      <rPr>
        <rFont val="游ゴシック"/>
        <color theme="1"/>
        <sz val="10.0"/>
      </rPr>
      <t>)</t>
    </r>
  </si>
  <si>
    <r>
      <rPr>
        <rFont val="Noto Sans CJK SC"/>
        <color theme="1"/>
        <sz val="10.0"/>
      </rPr>
      <t>状態列が空欄の行は、設問内の</t>
    </r>
    <r>
      <rPr>
        <rFont val="游ゴシック"/>
        <color theme="1"/>
        <sz val="10.0"/>
      </rPr>
      <t>2</t>
    </r>
    <r>
      <rPr>
        <rFont val="Noto Sans CJK SC"/>
        <color theme="1"/>
        <sz val="10.0"/>
      </rPr>
      <t>行目以降</t>
    </r>
    <r>
      <rPr>
        <rFont val="游ゴシック"/>
        <color theme="1"/>
        <sz val="10.0"/>
      </rPr>
      <t>(</t>
    </r>
    <r>
      <rPr>
        <rFont val="Noto Sans CJK SC"/>
        <color theme="1"/>
        <sz val="10.0"/>
      </rPr>
      <t>同設問の他の選択肢や詳細選択肢</t>
    </r>
    <r>
      <rPr>
        <rFont val="游ゴシック"/>
        <color theme="1"/>
        <sz val="10.0"/>
      </rPr>
      <t>)</t>
    </r>
    <r>
      <rPr>
        <rFont val="Noto Sans CJK SC"/>
        <color theme="1"/>
        <sz val="10.0"/>
      </rPr>
      <t>です。設問の状態は先頭行を参照してください。</t>
    </r>
  </si>
  <si>
    <t>② 設問文・選択肢の【回答不要】表示</t>
  </si>
  <si>
    <t>【回答不要】</t>
  </si>
  <si>
    <t>設問文の冒頭または選択肢の前に「【この設問は回答不要です】」「【回答不要】」と赤字で表示されたら、その設問は回答不要です。</t>
  </si>
  <si>
    <r>
      <rPr>
        <rFont val="Noto Sans CJK SC"/>
        <b/>
        <color rgb="FFFFFFFF"/>
        <sz val="12.0"/>
      </rPr>
      <t>③ 該当列</t>
    </r>
    <r>
      <rPr>
        <rFont val="游ゴシック"/>
        <b/>
        <color rgb="FFFFFFFF"/>
        <sz val="12.0"/>
      </rPr>
      <t>(H</t>
    </r>
    <r>
      <rPr>
        <rFont val="Noto Sans CJK SC"/>
        <b/>
        <color rgb="FFFFFFFF"/>
        <sz val="12.0"/>
      </rPr>
      <t>列</t>
    </r>
    <r>
      <rPr>
        <rFont val="游ゴシック"/>
        <b/>
        <color rgb="FFFFFFFF"/>
        <sz val="12.0"/>
      </rPr>
      <t>)</t>
    </r>
    <r>
      <rPr>
        <rFont val="Noto Sans CJK SC"/>
        <b/>
        <color rgb="FFFFFFFF"/>
        <sz val="12.0"/>
      </rPr>
      <t>の記号</t>
    </r>
  </si>
  <si>
    <t>○</t>
  </si>
  <si>
    <r>
      <rPr>
        <rFont val="Noto Sans CJK SC"/>
        <color theme="1"/>
        <sz val="10.0"/>
      </rPr>
      <t>この選択肢に該当する。</t>
    </r>
    <r>
      <rPr>
        <rFont val="游ゴシック"/>
        <color theme="1"/>
        <sz val="10.0"/>
      </rPr>
      <t>Web</t>
    </r>
    <r>
      <rPr>
        <rFont val="Noto Sans CJK SC"/>
        <color theme="1"/>
        <sz val="10.0"/>
      </rPr>
      <t>回答時にチェックを入れる項目。</t>
    </r>
  </si>
  <si>
    <t>×</t>
  </si>
  <si>
    <t>この選択肢に該当しない。</t>
  </si>
  <si>
    <r>
      <rPr>
        <rFont val="游ゴシック"/>
        <color theme="1"/>
        <sz val="10.0"/>
      </rPr>
      <t>(</t>
    </r>
    <r>
      <rPr>
        <rFont val="Noto Sans CJK SC"/>
        <color theme="1"/>
        <sz val="10.0"/>
      </rPr>
      <t>空欄</t>
    </r>
    <r>
      <rPr>
        <rFont val="游ゴシック"/>
        <color theme="1"/>
        <sz val="10.0"/>
      </rPr>
      <t>)</t>
    </r>
  </si>
  <si>
    <r>
      <rPr>
        <rFont val="Noto Sans CJK SC"/>
        <color theme="1"/>
        <sz val="10.0"/>
      </rPr>
      <t>未回答。全選択肢に○か</t>
    </r>
    <r>
      <rPr>
        <rFont val="游ゴシック"/>
        <color theme="1"/>
        <sz val="10.0"/>
      </rPr>
      <t>×</t>
    </r>
    <r>
      <rPr>
        <rFont val="Noto Sans CJK SC"/>
        <color theme="1"/>
        <sz val="10.0"/>
      </rPr>
      <t>を入力してください。</t>
    </r>
  </si>
  <si>
    <r>
      <rPr>
        <rFont val="Noto Sans CJK SC"/>
        <b/>
        <color rgb="FFFFFFFF"/>
        <sz val="12.0"/>
      </rPr>
      <t>④ 記載要望</t>
    </r>
    <r>
      <rPr>
        <rFont val="游ゴシック"/>
        <b/>
        <color rgb="FFFFFFFF"/>
        <sz val="12.0"/>
      </rPr>
      <t>(</t>
    </r>
    <r>
      <rPr>
        <rFont val="Noto Sans CJK SC"/>
        <b/>
        <color rgb="FFFFFFFF"/>
        <sz val="12.0"/>
      </rPr>
      <t>備考</t>
    </r>
    <r>
      <rPr>
        <rFont val="游ゴシック"/>
        <b/>
        <color rgb="FFFFFFFF"/>
        <sz val="12.0"/>
      </rPr>
      <t>)</t>
    </r>
    <r>
      <rPr>
        <rFont val="Noto Sans CJK SC"/>
        <b/>
        <color rgb="FFFFFFFF"/>
        <sz val="12.0"/>
      </rPr>
      <t>の見方</t>
    </r>
  </si>
  <si>
    <r>
      <rPr>
        <rFont val="游ゴシック"/>
        <color theme="1"/>
        <sz val="10.0"/>
      </rPr>
      <t>[</t>
    </r>
    <r>
      <rPr>
        <rFont val="Noto Sans CJK SC"/>
        <color theme="1"/>
        <sz val="10.0"/>
      </rPr>
      <t>企業名</t>
    </r>
    <r>
      <rPr>
        <rFont val="游ゴシック"/>
        <color theme="1"/>
        <sz val="10.0"/>
      </rPr>
      <t>*]</t>
    </r>
  </si>
  <si>
    <r>
      <rPr>
        <rFont val="Noto Sans CJK SC"/>
        <color theme="1"/>
        <sz val="10.0"/>
      </rPr>
      <t>選択肢の右側に角括弧で詳細項目が併記されている場合、その項目を詳細</t>
    </r>
    <r>
      <rPr>
        <rFont val="游ゴシック"/>
        <color theme="1"/>
        <sz val="10.0"/>
      </rPr>
      <t>1</t>
    </r>
    <r>
      <rPr>
        <rFont val="Noto Sans CJK SC"/>
        <color theme="1"/>
        <sz val="10.0"/>
      </rPr>
      <t>〜</t>
    </r>
    <r>
      <rPr>
        <rFont val="游ゴシック"/>
        <color theme="1"/>
        <sz val="10.0"/>
      </rPr>
      <t>3</t>
    </r>
    <r>
      <rPr>
        <rFont val="Noto Sans CJK SC"/>
        <color theme="1"/>
        <sz val="10.0"/>
      </rPr>
      <t>列に記入。「</t>
    </r>
    <r>
      <rPr>
        <rFont val="游ゴシック"/>
        <color theme="1"/>
        <sz val="10.0"/>
      </rPr>
      <t>*</t>
    </r>
    <r>
      <rPr>
        <rFont val="Noto Sans CJK SC"/>
        <color theme="1"/>
        <sz val="10.0"/>
      </rPr>
      <t>」は必須項目。</t>
    </r>
  </si>
  <si>
    <t>ホバー</t>
  </si>
  <si>
    <r>
      <rPr>
        <rFont val="Noto Sans CJK SC"/>
        <color theme="1"/>
        <sz val="10.0"/>
      </rPr>
      <t>詳細</t>
    </r>
    <r>
      <rPr>
        <rFont val="游ゴシック"/>
        <color theme="1"/>
        <sz val="10.0"/>
      </rPr>
      <t>1</t>
    </r>
    <r>
      <rPr>
        <rFont val="Noto Sans CJK SC"/>
        <color theme="1"/>
        <sz val="10.0"/>
      </rPr>
      <t>〜</t>
    </r>
    <r>
      <rPr>
        <rFont val="游ゴシック"/>
        <color theme="1"/>
        <sz val="10.0"/>
      </rPr>
      <t>3</t>
    </r>
    <r>
      <rPr>
        <rFont val="Noto Sans CJK SC"/>
        <color theme="1"/>
        <sz val="10.0"/>
      </rPr>
      <t>列のセルにマウスを乗せると、何を記入すべきかのコメントが表示されます。</t>
    </r>
  </si>
  <si>
    <t>★必須</t>
  </si>
  <si>
    <r>
      <rPr>
        <rFont val="Noto Sans CJK SC"/>
        <color theme="1"/>
        <sz val="10.0"/>
      </rPr>
      <t>コメント内の★必須マークは、</t>
    </r>
    <r>
      <rPr>
        <rFont val="游ゴシック"/>
        <color theme="1"/>
        <sz val="10.0"/>
      </rPr>
      <t>Web</t>
    </r>
    <r>
      <rPr>
        <rFont val="Noto Sans CJK SC"/>
        <color theme="1"/>
        <sz val="10.0"/>
      </rPr>
      <t>回答時に記入が必須となる項目です。</t>
    </r>
  </si>
  <si>
    <t>⑤ 各列の意味</t>
  </si>
  <si>
    <r>
      <rPr>
        <rFont val="Noto Sans CJK SC"/>
        <color theme="1"/>
        <sz val="10.0"/>
      </rPr>
      <t>設問の通し番号</t>
    </r>
    <r>
      <rPr>
        <rFont val="游ゴシック"/>
        <color theme="1"/>
        <sz val="10.0"/>
      </rPr>
      <t>(1</t>
    </r>
    <r>
      <rPr>
        <rFont val="Noto Sans CJK SC"/>
        <color theme="1"/>
        <sz val="10.0"/>
      </rPr>
      <t>〜</t>
    </r>
    <r>
      <rPr>
        <rFont val="游ゴシック"/>
        <color theme="1"/>
        <sz val="10.0"/>
      </rPr>
      <t>77)</t>
    </r>
    <r>
      <rPr>
        <rFont val="Noto Sans CJK SC"/>
        <color theme="1"/>
        <sz val="10.0"/>
      </rPr>
      <t>。設問の先頭行にのみ表示。</t>
    </r>
  </si>
  <si>
    <r>
      <rPr>
        <rFont val="Noto Sans CJK SC"/>
        <color theme="1"/>
        <sz val="10.0"/>
      </rPr>
      <t>「要回答」</t>
    </r>
    <r>
      <rPr>
        <rFont val="游ゴシック"/>
        <color theme="1"/>
        <sz val="10.0"/>
      </rPr>
      <t>or</t>
    </r>
    <r>
      <rPr>
        <rFont val="Noto Sans CJK SC"/>
        <color theme="1"/>
        <sz val="10.0"/>
      </rPr>
      <t>「✖ 回答不要」。設問の先頭行にのみ表示。</t>
    </r>
  </si>
  <si>
    <r>
      <rPr>
        <rFont val="游ゴシック"/>
        <color theme="1"/>
        <sz val="10.0"/>
      </rPr>
      <t>SCM</t>
    </r>
    <r>
      <rPr>
        <rFont val="Noto Sans CJK SC"/>
        <color theme="1"/>
        <sz val="10.0"/>
      </rPr>
      <t xml:space="preserve">リスト </t>
    </r>
    <r>
      <rPr>
        <rFont val="游ゴシック"/>
        <color theme="1"/>
        <sz val="10.0"/>
      </rPr>
      <t xml:space="preserve">/ </t>
    </r>
    <r>
      <rPr>
        <rFont val="Noto Sans CJK SC"/>
        <color theme="1"/>
        <sz val="10.0"/>
      </rPr>
      <t>評価リスト</t>
    </r>
  </si>
  <si>
    <t>設問のカテゴリ</t>
  </si>
  <si>
    <r>
      <rPr>
        <rFont val="Noto Sans CJK SC"/>
        <color theme="1"/>
        <sz val="10.0"/>
      </rPr>
      <t>設問の識別コード</t>
    </r>
    <r>
      <rPr>
        <rFont val="游ゴシック"/>
        <color theme="1"/>
        <sz val="10.0"/>
      </rPr>
      <t xml:space="preserve">(SM-1 </t>
    </r>
    <r>
      <rPr>
        <rFont val="Noto Sans CJK SC"/>
        <color theme="1"/>
        <sz val="10.0"/>
      </rPr>
      <t>等</t>
    </r>
    <r>
      <rPr>
        <rFont val="游ゴシック"/>
        <color theme="1"/>
        <sz val="10.0"/>
      </rPr>
      <t>)</t>
    </r>
  </si>
  <si>
    <t>設問本文。回答不要時は【この設問は回答不要です】を冒頭に表示。</t>
  </si>
  <si>
    <t>設問の選択肢。回答不要時は【回答不要】を前置表示。</t>
  </si>
  <si>
    <r>
      <rPr>
        <rFont val="游ゴシック"/>
        <color theme="1"/>
        <sz val="10.0"/>
      </rPr>
      <t>○/×</t>
    </r>
    <r>
      <rPr>
        <rFont val="Noto Sans CJK SC"/>
        <color theme="1"/>
        <sz val="10.0"/>
      </rPr>
      <t>を選択する入力欄</t>
    </r>
  </si>
  <si>
    <r>
      <rPr>
        <rFont val="Noto Sans CJK SC"/>
        <b/>
        <color theme="1"/>
        <sz val="10.0"/>
      </rPr>
      <t>詳細</t>
    </r>
    <r>
      <rPr>
        <rFont val="游ゴシック"/>
        <b/>
        <color theme="1"/>
        <sz val="10.0"/>
      </rPr>
      <t>1</t>
    </r>
    <r>
      <rPr>
        <rFont val="Noto Sans CJK SC"/>
        <b/>
        <color theme="1"/>
        <sz val="10.0"/>
      </rPr>
      <t>〜</t>
    </r>
    <r>
      <rPr>
        <rFont val="游ゴシック"/>
        <b/>
        <color theme="1"/>
        <sz val="10.0"/>
      </rPr>
      <t>3</t>
    </r>
  </si>
  <si>
    <t>選択肢に紐づく詳細情報の入力欄</t>
  </si>
  <si>
    <r>
      <rPr>
        <rFont val="Noto Sans CJK SC"/>
        <b/>
        <color theme="1"/>
        <sz val="10.0"/>
      </rPr>
      <t>自由記述</t>
    </r>
    <r>
      <rPr>
        <rFont val="游ゴシック"/>
        <b/>
        <color theme="1"/>
        <sz val="10.0"/>
      </rPr>
      <t>/</t>
    </r>
    <r>
      <rPr>
        <rFont val="Noto Sans CJK SC"/>
        <b/>
        <color theme="1"/>
        <sz val="10.0"/>
      </rPr>
      <t>補足</t>
    </r>
  </si>
  <si>
    <t>固有名称等の補足記入欄</t>
  </si>
  <si>
    <r>
      <rPr>
        <rFont val="Noto Sans CJK SC"/>
        <b/>
        <color theme="1"/>
        <sz val="10.0"/>
      </rPr>
      <t>判定</t>
    </r>
    <r>
      <rPr>
        <rFont val="游ゴシック"/>
        <b/>
        <color theme="1"/>
        <sz val="10.0"/>
      </rPr>
      <t>(</t>
    </r>
    <r>
      <rPr>
        <rFont val="Noto Sans CJK SC"/>
        <b/>
        <color theme="1"/>
        <sz val="10.0"/>
      </rPr>
      <t>内部</t>
    </r>
    <r>
      <rPr>
        <rFont val="游ゴシック"/>
        <b/>
        <color theme="1"/>
        <sz val="10.0"/>
      </rPr>
      <t>)</t>
    </r>
  </si>
  <si>
    <r>
      <rPr>
        <rFont val="Noto Sans CJK SC"/>
        <color theme="1"/>
        <sz val="10.0"/>
      </rPr>
      <t>状態列のもとになる判定数式</t>
    </r>
    <r>
      <rPr>
        <rFont val="游ゴシック"/>
        <color theme="1"/>
        <sz val="10.0"/>
      </rPr>
      <t>(</t>
    </r>
    <r>
      <rPr>
        <rFont val="Noto Sans CJK SC"/>
        <color theme="1"/>
        <sz val="10.0"/>
      </rPr>
      <t>編集不要</t>
    </r>
    <r>
      <rPr>
        <rFont val="游ゴシック"/>
        <color theme="1"/>
        <sz val="10.0"/>
      </rPr>
      <t>)</t>
    </r>
  </si>
  <si>
    <t>⑥ 操作のヒント</t>
  </si>
  <si>
    <t>- / +</t>
  </si>
  <si>
    <t>画面左のアウトラインボタンで、カテゴリ単位の折りたたみ・展開ができます。</t>
  </si>
  <si>
    <t>固定</t>
  </si>
  <si>
    <t>ヘッダー行と左側の設問情報は、スクロールしても画面に固定されます。</t>
  </si>
  <si>
    <t>自動</t>
  </si>
  <si>
    <r>
      <rPr>
        <rFont val="Noto Sans CJK SC"/>
        <color theme="1"/>
        <sz val="10.0"/>
      </rPr>
      <t>親設問の○</t>
    </r>
    <r>
      <rPr>
        <rFont val="游ゴシック"/>
        <color theme="1"/>
        <sz val="10.0"/>
      </rPr>
      <t>/×</t>
    </r>
    <r>
      <rPr>
        <rFont val="Noto Sans CJK SC"/>
        <color theme="1"/>
        <sz val="10.0"/>
      </rPr>
      <t>を変えると、子設問の状態と表示が自動で切り替わります。</t>
    </r>
  </si>
  <si>
    <t>⑦ デフォルト挙動について</t>
  </si>
  <si>
    <t>💡 すべての設問は最初『要回答』状態です。親設問で特定の選択肢に○を入れたときに限り、関連する設問が『✖ 回答不要』に変わります。親設問が未入力の段階では、すべて回答対象として扱ってください。</t>
  </si>
  <si>
    <r>
      <rPr>
        <rFont val="Noto Sans CJK SC"/>
        <b/>
        <color rgb="FF1F4E78"/>
        <sz val="14.0"/>
      </rPr>
      <t>選択肢マスタ</t>
    </r>
    <r>
      <rPr>
        <rFont val="游ゴシック"/>
        <b/>
        <color rgb="FF1F4E78"/>
        <sz val="14.0"/>
      </rPr>
      <t>(</t>
    </r>
    <r>
      <rPr>
        <rFont val="Noto Sans CJK SC"/>
        <b/>
        <color rgb="FF1F4E78"/>
        <sz val="14.0"/>
      </rPr>
      <t>参照用</t>
    </r>
    <r>
      <rPr>
        <rFont val="游ゴシック"/>
        <b/>
        <color rgb="FF1F4E78"/>
        <sz val="14.0"/>
      </rPr>
      <t>)</t>
    </r>
  </si>
  <si>
    <t>選択肢タイプ</t>
  </si>
  <si>
    <t>親選択肢</t>
  </si>
  <si>
    <r>
      <rPr>
        <rFont val="Noto Sans CJK SC"/>
        <b/>
        <color rgb="FFFFFFFF"/>
        <sz val="11.0"/>
      </rPr>
      <t>選択肢</t>
    </r>
    <r>
      <rPr>
        <rFont val="游ゴシック"/>
        <b/>
        <color rgb="FFFFFFFF"/>
        <sz val="11.0"/>
      </rPr>
      <t>/</t>
    </r>
    <r>
      <rPr>
        <rFont val="Noto Sans CJK SC"/>
        <b/>
        <color rgb="FFFFFFFF"/>
        <sz val="11.0"/>
      </rPr>
      <t>詳細項目</t>
    </r>
  </si>
  <si>
    <r>
      <rPr>
        <rFont val="Noto Sans CJK SC"/>
        <color theme="1"/>
        <sz val="10.0"/>
      </rPr>
      <t>調査対象の業務遂行にあたり、外部委託先や外部サービスを利用する場合、その企業名や</t>
    </r>
    <r>
      <rPr>
        <rFont val="游ゴシック"/>
        <color theme="1"/>
        <sz val="10.0"/>
      </rPr>
      <t>...</t>
    </r>
  </si>
  <si>
    <t>外部委託先</t>
  </si>
  <si>
    <r>
      <rPr>
        <rFont val="Noto Sans CJK SC"/>
        <color theme="1"/>
        <sz val="10.0"/>
      </rPr>
      <t>調査対象の業務遂行にあたり、外部委託先や外部サービスを利用する場合、その企業名や</t>
    </r>
    <r>
      <rPr>
        <rFont val="游ゴシック"/>
        <color theme="1"/>
        <sz val="10.0"/>
      </rPr>
      <t>...</t>
    </r>
  </si>
  <si>
    <t>外部サービス</t>
  </si>
  <si>
    <r>
      <rPr>
        <rFont val="Noto Sans CJK SC"/>
        <color theme="1"/>
        <sz val="10.0"/>
      </rPr>
      <t>調査対象の業務遂行にあたり、外部委託先や外部サービスを利用する場合、その企業名や</t>
    </r>
    <r>
      <rPr>
        <rFont val="游ゴシック"/>
        <color theme="1"/>
        <sz val="10.0"/>
      </rPr>
      <t>...</t>
    </r>
  </si>
  <si>
    <t>該当なし</t>
  </si>
  <si>
    <r>
      <rPr>
        <rFont val="Noto Sans CJK SC"/>
        <color theme="1"/>
        <sz val="10.0"/>
      </rPr>
      <t>調査対象の業務遂行にあたり、外部委託先や外部サービスを利用する場合、その企業名や</t>
    </r>
    <r>
      <rPr>
        <rFont val="游ゴシック"/>
        <color theme="1"/>
        <sz val="10.0"/>
      </rPr>
      <t>...</t>
    </r>
  </si>
  <si>
    <t>非公開</t>
  </si>
  <si>
    <r>
      <rPr>
        <rFont val="Noto Sans CJK SC"/>
        <color theme="1"/>
        <sz val="10.0"/>
      </rPr>
      <t>外部委託先や外部サービスに業務情報を預託する場合、業務情報と企業名・サービス名を</t>
    </r>
    <r>
      <rPr>
        <rFont val="游ゴシック"/>
        <color theme="1"/>
        <sz val="10.0"/>
      </rPr>
      <t>...</t>
    </r>
  </si>
  <si>
    <t>業務情報を預託する外部委託先</t>
  </si>
  <si>
    <r>
      <rPr>
        <rFont val="Noto Sans CJK SC"/>
        <color theme="1"/>
        <sz val="10.0"/>
      </rPr>
      <t>詳細</t>
    </r>
    <r>
      <rPr>
        <rFont val="游ゴシック"/>
        <color theme="1"/>
        <sz val="10.0"/>
      </rPr>
      <t>(checkbox)</t>
    </r>
  </si>
  <si>
    <t>業務情報（個人情報除く）を預託する</t>
  </si>
  <si>
    <r>
      <rPr>
        <rFont val="Noto Sans CJK SC"/>
        <color theme="1"/>
        <sz val="10.0"/>
      </rPr>
      <t>詳細</t>
    </r>
    <r>
      <rPr>
        <rFont val="游ゴシック"/>
        <color theme="1"/>
        <sz val="10.0"/>
      </rPr>
      <t>(checkbox)</t>
    </r>
  </si>
  <si>
    <t>特定個人情報（マイナンバー）を預託する</t>
  </si>
  <si>
    <r>
      <rPr>
        <rFont val="Noto Sans CJK SC"/>
        <color theme="1"/>
        <sz val="10.0"/>
      </rPr>
      <t>詳細</t>
    </r>
    <r>
      <rPr>
        <rFont val="游ゴシック"/>
        <color theme="1"/>
        <sz val="10.0"/>
      </rPr>
      <t>(checkbox)</t>
    </r>
  </si>
  <si>
    <t>要配慮個人情報（人種、信条、社会的身分、病歴等の配慮を要する個人情報）を預託する</t>
  </si>
  <si>
    <r>
      <rPr>
        <rFont val="Noto Sans CJK SC"/>
        <color theme="1"/>
        <sz val="10.0"/>
      </rPr>
      <t>詳細</t>
    </r>
    <r>
      <rPr>
        <rFont val="游ゴシック"/>
        <color theme="1"/>
        <sz val="10.0"/>
      </rPr>
      <t>(checkbox)</t>
    </r>
  </si>
  <si>
    <t>個人データ（個人情報データベース等を構成する個人情報）を預託する</t>
  </si>
  <si>
    <r>
      <rPr>
        <rFont val="Noto Sans CJK SC"/>
        <color theme="1"/>
        <sz val="10.0"/>
      </rPr>
      <t>詳細</t>
    </r>
    <r>
      <rPr>
        <rFont val="游ゴシック"/>
        <color theme="1"/>
        <sz val="10.0"/>
      </rPr>
      <t>(checkbox)</t>
    </r>
  </si>
  <si>
    <t>上記以外の個人情報を預託する</t>
  </si>
  <si>
    <r>
      <rPr>
        <rFont val="Noto Sans CJK SC"/>
        <color theme="1"/>
        <sz val="10.0"/>
      </rPr>
      <t>外部委託先や外部サービスに業務情報を預託する場合、業務情報と企業名・サービス名を</t>
    </r>
    <r>
      <rPr>
        <rFont val="游ゴシック"/>
        <color theme="1"/>
        <sz val="10.0"/>
      </rPr>
      <t>...</t>
    </r>
  </si>
  <si>
    <t>業務情報を預託する外部サービス</t>
  </si>
  <si>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</si>
  <si>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</si>
  <si>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</si>
  <si>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</si>
  <si>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</si>
  <si>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外部委託先や外部サービスに業務情報を預託する場合、業務情報と企業名・サービス名を</t>
    </r>
    <r>
      <rPr>
        <rFont val="游ゴシック"/>
        <color theme="1"/>
        <sz val="10.0"/>
      </rPr>
      <t>...</t>
    </r>
  </si>
  <si>
    <r>
      <rPr>
        <rFont val="Noto Sans CJK SC"/>
        <color theme="1"/>
        <sz val="10.0"/>
      </rPr>
      <t>外部委託先や外部サービスに業務情報を預託する場合、業務情報と企業名・サービス名を</t>
    </r>
    <r>
      <rPr>
        <rFont val="游ゴシック"/>
        <color theme="1"/>
        <sz val="10.0"/>
      </rPr>
      <t>...</t>
    </r>
  </si>
  <si>
    <r>
      <rPr>
        <rFont val="Noto Sans CJK SC"/>
        <color theme="1"/>
        <sz val="10.0"/>
      </rPr>
      <t>セキュリティインシデントやサービス停止により、調査対象の業務に影響を与える外部委</t>
    </r>
    <r>
      <rPr>
        <rFont val="游ゴシック"/>
        <color theme="1"/>
        <sz val="10.0"/>
      </rPr>
      <t>...</t>
    </r>
  </si>
  <si>
    <t>業務やサービスレベルへの影響度が大きい重要な外部委託先</t>
  </si>
  <si>
    <r>
      <rPr>
        <rFont val="Noto Sans CJK SC"/>
        <color theme="1"/>
        <sz val="10.0"/>
      </rPr>
      <t>セキュリティインシデントやサービス停止により、調査対象の業務に影響を与える外部委</t>
    </r>
    <r>
      <rPr>
        <rFont val="游ゴシック"/>
        <color theme="1"/>
        <sz val="10.0"/>
      </rPr>
      <t>...</t>
    </r>
  </si>
  <si>
    <t>業務やサービスレベルへの影響度が大きい重要な外部サービス</t>
  </si>
  <si>
    <r>
      <rPr>
        <rFont val="Noto Sans CJK SC"/>
        <color theme="1"/>
        <sz val="10.0"/>
      </rPr>
      <t>セキュリティインシデントやサービス停止により、調査対象の業務に影響を与える外部委</t>
    </r>
    <r>
      <rPr>
        <rFont val="游ゴシック"/>
        <color theme="1"/>
        <sz val="10.0"/>
      </rPr>
      <t>...</t>
    </r>
  </si>
  <si>
    <r>
      <rPr>
        <rFont val="Noto Sans CJK SC"/>
        <color theme="1"/>
        <sz val="10.0"/>
      </rPr>
      <t>セキュリティインシデントやサービス停止により、調査対象の業務に影響を与える外部委</t>
    </r>
    <r>
      <rPr>
        <rFont val="游ゴシック"/>
        <color theme="1"/>
        <sz val="10.0"/>
      </rPr>
      <t>...</t>
    </r>
  </si>
  <si>
    <r>
      <rPr>
        <rFont val="Noto Sans CJK SC"/>
        <color theme="1"/>
        <sz val="10.0"/>
      </rPr>
      <t>再委託に関する取り扱いについて、該当する選択肢をすべて選択してください。</t>
    </r>
    <r>
      <rPr>
        <rFont val="游ゴシック"/>
        <color theme="1"/>
        <sz val="10.0"/>
      </rPr>
      <t>...</t>
    </r>
  </si>
  <si>
    <t>再委託を禁止している</t>
  </si>
  <si>
    <r>
      <rPr>
        <rFont val="Noto Sans CJK SC"/>
        <color theme="1"/>
        <sz val="10.0"/>
      </rPr>
      <t>再委託に関する取り扱いについて、該当する選択肢をすべて選択してください。</t>
    </r>
    <r>
      <rPr>
        <rFont val="游ゴシック"/>
        <color theme="1"/>
        <sz val="10.0"/>
      </rPr>
      <t>...</t>
    </r>
  </si>
  <si>
    <t>再委託は可能としているが、再々委託以降は禁止している</t>
  </si>
  <si>
    <r>
      <rPr>
        <rFont val="Noto Sans CJK SC"/>
        <color theme="1"/>
        <sz val="10.0"/>
      </rPr>
      <t>再委託に関する取り扱いについて、該当する選択肢をすべて選択してください。</t>
    </r>
    <r>
      <rPr>
        <rFont val="游ゴシック"/>
        <color theme="1"/>
        <sz val="10.0"/>
      </rPr>
      <t>...</t>
    </r>
  </si>
  <si>
    <t>再委託先以降の追加・変更時に通知することを契約等で定めている</t>
  </si>
  <si>
    <r>
      <rPr>
        <rFont val="Noto Sans CJK SC"/>
        <color theme="1"/>
        <sz val="10.0"/>
      </rPr>
      <t>再委託に関する取り扱いについて、該当する選択肢をすべて選択してください。</t>
    </r>
    <r>
      <rPr>
        <rFont val="游ゴシック"/>
        <color theme="1"/>
        <sz val="10.0"/>
      </rPr>
      <t>...</t>
    </r>
  </si>
  <si>
    <r>
      <rPr>
        <rFont val="Noto Sans CJK SC"/>
        <color theme="1"/>
        <sz val="10.0"/>
      </rPr>
      <t>再委託に関する取り扱いについて、該当する選択肢をすべて選択してください。</t>
    </r>
    <r>
      <rPr>
        <rFont val="游ゴシック"/>
        <color theme="1"/>
        <sz val="10.0"/>
      </rPr>
      <t>...</t>
    </r>
  </si>
  <si>
    <r>
      <rPr>
        <rFont val="Noto Sans CJK SC"/>
        <color theme="1"/>
        <sz val="10.0"/>
      </rPr>
      <t>調査対象業務を行う場所として、該当するものを選択してください。</t>
    </r>
    <r>
      <rPr>
        <rFont val="游ゴシック"/>
        <color theme="1"/>
        <sz val="10.0"/>
      </rPr>
      <t>...</t>
    </r>
  </si>
  <si>
    <t>取引元がセキュリティにおける責任を負う拠点のみで業務を行う</t>
  </si>
  <si>
    <r>
      <rPr>
        <rFont val="Noto Sans CJK SC"/>
        <color theme="1"/>
        <sz val="10.0"/>
      </rPr>
      <t>調査対象業務を行う場所として、該当するものを選択してください。</t>
    </r>
    <r>
      <rPr>
        <rFont val="游ゴシック"/>
        <color theme="1"/>
        <sz val="10.0"/>
      </rPr>
      <t>...</t>
    </r>
  </si>
  <si>
    <t>回答事業者がセキュリティにおける責任を負う拠点のみで業務を行う</t>
  </si>
  <si>
    <r>
      <rPr>
        <rFont val="Noto Sans CJK SC"/>
        <color theme="1"/>
        <sz val="10.0"/>
      </rPr>
      <t>調査対象業務を行う場所として、該当するものを選択してください。</t>
    </r>
    <r>
      <rPr>
        <rFont val="游ゴシック"/>
        <color theme="1"/>
        <sz val="10.0"/>
      </rPr>
      <t>...</t>
    </r>
  </si>
  <si>
    <t>取引元と回答事業者の双方の拠点を利用して業務を行う</t>
  </si>
  <si>
    <r>
      <rPr>
        <rFont val="Noto Sans CJK SC"/>
        <color theme="1"/>
        <sz val="10.0"/>
      </rPr>
      <t>調査対象業務で利用する端末（</t>
    </r>
    <r>
      <rPr>
        <rFont val="游ゴシック"/>
        <color theme="1"/>
        <sz val="10.0"/>
      </rPr>
      <t>PC</t>
    </r>
    <r>
      <rPr>
        <rFont val="Noto Sans CJK SC"/>
        <color theme="1"/>
        <sz val="10.0"/>
      </rPr>
      <t>、スマートフォン等）について、該当するものを選択</t>
    </r>
    <r>
      <rPr>
        <rFont val="游ゴシック"/>
        <color theme="1"/>
        <sz val="10.0"/>
      </rPr>
      <t>...</t>
    </r>
  </si>
  <si>
    <t>取引元がセキュリティにおける責任を負う端末のみで業務を行う</t>
  </si>
  <si>
    <r>
      <rPr>
        <rFont val="Noto Sans CJK SC"/>
        <color theme="1"/>
        <sz val="10.0"/>
      </rPr>
      <t>調査対象業務で利用する端末（</t>
    </r>
    <r>
      <rPr>
        <rFont val="游ゴシック"/>
        <color theme="1"/>
        <sz val="10.0"/>
      </rPr>
      <t>PC</t>
    </r>
    <r>
      <rPr>
        <rFont val="Noto Sans CJK SC"/>
        <color theme="1"/>
        <sz val="10.0"/>
      </rPr>
      <t>、スマートフォン等）について、該当するものを選択</t>
    </r>
    <r>
      <rPr>
        <rFont val="游ゴシック"/>
        <color theme="1"/>
        <sz val="10.0"/>
      </rPr>
      <t>...</t>
    </r>
  </si>
  <si>
    <t>回答事業者がセキュリティにおける責任を負う端末のみで業務を行う</t>
  </si>
  <si>
    <r>
      <rPr>
        <rFont val="Noto Sans CJK SC"/>
        <color theme="1"/>
        <sz val="10.0"/>
      </rPr>
      <t>調査対象業務で利用する端末（</t>
    </r>
    <r>
      <rPr>
        <rFont val="游ゴシック"/>
        <color theme="1"/>
        <sz val="10.0"/>
      </rPr>
      <t>PC</t>
    </r>
    <r>
      <rPr>
        <rFont val="Noto Sans CJK SC"/>
        <color theme="1"/>
        <sz val="10.0"/>
      </rPr>
      <t>、スマートフォン等）について、該当するものを選択</t>
    </r>
    <r>
      <rPr>
        <rFont val="游ゴシック"/>
        <color theme="1"/>
        <sz val="10.0"/>
      </rPr>
      <t>...</t>
    </r>
  </si>
  <si>
    <t>取引元と回答事業者の双方の端末を利用して業務を行う</t>
  </si>
  <si>
    <r>
      <rPr>
        <rFont val="Noto Sans CJK SC"/>
        <color theme="1"/>
        <sz val="10.0"/>
      </rPr>
      <t>調査対象業務で利用するシステム環境（アプリケーション、サーバ、ネットワーク等）に</t>
    </r>
    <r>
      <rPr>
        <rFont val="游ゴシック"/>
        <color theme="1"/>
        <sz val="10.0"/>
      </rPr>
      <t>...</t>
    </r>
  </si>
  <si>
    <t>取引元がセキュリティにおける責任を負うシステム環境のみで業務を行う</t>
  </si>
  <si>
    <r>
      <rPr>
        <rFont val="Noto Sans CJK SC"/>
        <color theme="1"/>
        <sz val="10.0"/>
      </rPr>
      <t>調査対象業務で利用するシステム環境（アプリケーション、サーバ、ネットワーク等）に</t>
    </r>
    <r>
      <rPr>
        <rFont val="游ゴシック"/>
        <color theme="1"/>
        <sz val="10.0"/>
      </rPr>
      <t>...</t>
    </r>
  </si>
  <si>
    <t>回答事業者がセキュリティにおける責任を負うシステム環境のみで業務を行う</t>
  </si>
  <si>
    <r>
      <rPr>
        <rFont val="Noto Sans CJK SC"/>
        <color theme="1"/>
        <sz val="10.0"/>
      </rPr>
      <t>調査対象業務で利用するシステム環境（アプリケーション、サーバ、ネットワーク等）に</t>
    </r>
    <r>
      <rPr>
        <rFont val="游ゴシック"/>
        <color theme="1"/>
        <sz val="10.0"/>
      </rPr>
      <t>...</t>
    </r>
  </si>
  <si>
    <t>取引元と回答事業者の双方のシステム環境を利用して業務を行う</t>
  </si>
  <si>
    <r>
      <rPr>
        <rFont val="Noto Sans CJK SC"/>
        <color theme="1"/>
        <sz val="10.0"/>
      </rPr>
      <t>情報セキュリティまたは個人情報保護について取得している第三者による認証や評価をす</t>
    </r>
    <r>
      <rPr>
        <rFont val="游ゴシック"/>
        <color theme="1"/>
        <sz val="10.0"/>
      </rPr>
      <t>...</t>
    </r>
  </si>
  <si>
    <t>ISO/IEC 27001</t>
  </si>
  <si>
    <r>
      <rPr>
        <rFont val="Noto Sans CJK SC"/>
        <color theme="1"/>
        <sz val="10.0"/>
      </rPr>
      <t>詳細</t>
    </r>
    <r>
      <rPr>
        <rFont val="游ゴシック"/>
        <color theme="1"/>
        <sz val="10.0"/>
      </rPr>
      <t>(freetext)</t>
    </r>
  </si>
  <si>
    <t>登録番号</t>
  </si>
  <si>
    <r>
      <rPr>
        <rFont val="Noto Sans CJK SC"/>
        <color theme="1"/>
        <sz val="10.0"/>
      </rPr>
      <t>詳細</t>
    </r>
    <r>
      <rPr>
        <rFont val="游ゴシック"/>
        <color theme="1"/>
        <sz val="10.0"/>
      </rPr>
      <t>(freetext)</t>
    </r>
  </si>
  <si>
    <t>有効期限</t>
  </si>
  <si>
    <r>
      <rPr>
        <rFont val="Noto Sans CJK SC"/>
        <color theme="1"/>
        <sz val="10.0"/>
      </rPr>
      <t>詳細</t>
    </r>
    <r>
      <rPr>
        <rFont val="游ゴシック"/>
        <color theme="1"/>
        <sz val="10.0"/>
      </rPr>
      <t>(freetext)</t>
    </r>
  </si>
  <si>
    <t>範囲</t>
  </si>
  <si>
    <r>
      <rPr>
        <rFont val="Noto Sans CJK SC"/>
        <color theme="1"/>
        <sz val="10.0"/>
      </rPr>
      <t>情報セキュリティまたは個人情報保護について取得している第三者による認証や評価をす</t>
    </r>
    <r>
      <rPr>
        <rFont val="游ゴシック"/>
        <color theme="1"/>
        <sz val="10.0"/>
      </rPr>
      <t>...</t>
    </r>
  </si>
  <si>
    <t>ISO/IEC 27017</t>
  </si>
  <si>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</si>
  <si>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</si>
  <si>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</si>
  <si>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r>
      <rPr>
        <rFont val="Noto Sans CJK SC"/>
        <color theme="1"/>
        <sz val="10.0"/>
      </rPr>
      <t>情報セキュリティまたは個人情報保護について取得している第三者による認証や評価をす</t>
    </r>
    <r>
      <rPr>
        <rFont val="游ゴシック"/>
        <color theme="1"/>
        <sz val="10.0"/>
      </rPr>
      <t>...</t>
    </r>
  </si>
  <si>
    <t>JISQ 15001</t>
  </si>
  <si>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</si>
  <si>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</si>
  <si>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</si>
  <si>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r>
      <rPr>
        <rFont val="Noto Sans CJK SC"/>
        <color theme="1"/>
        <sz val="10.0"/>
      </rPr>
      <t>情報セキュリティまたは個人情報保護について取得している第三者による認証や評価をす</t>
    </r>
    <r>
      <rPr>
        <rFont val="游ゴシック"/>
        <color theme="1"/>
        <sz val="10.0"/>
      </rPr>
      <t>...</t>
    </r>
  </si>
  <si>
    <t>プライバシーマーク</t>
  </si>
  <si>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</si>
  <si>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</si>
  <si>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r>
      <rPr>
        <rFont val="Noto Sans CJK SC"/>
        <color theme="1"/>
        <sz val="10.0"/>
      </rPr>
      <t>情報セキュリティまたは個人情報保護について取得している第三者による認証や評価をす</t>
    </r>
    <r>
      <rPr>
        <rFont val="游ゴシック"/>
        <color theme="1"/>
        <sz val="10.0"/>
      </rPr>
      <t>...</t>
    </r>
  </si>
  <si>
    <t>SOC2(Type1)</t>
  </si>
  <si>
    <r>
      <rPr>
        <rFont val="Noto Sans CJK SC"/>
        <color theme="1"/>
        <sz val="10.0"/>
      </rPr>
      <t>詳細</t>
    </r>
    <r>
      <rPr>
        <rFont val="游ゴシック"/>
        <color theme="1"/>
        <sz val="10.0"/>
      </rPr>
      <t>(freetext)</t>
    </r>
  </si>
  <si>
    <t>取得年月</t>
  </si>
  <si>
    <r>
      <rPr>
        <rFont val="Noto Sans CJK SC"/>
        <color theme="1"/>
        <sz val="10.0"/>
      </rPr>
      <t>詳細</t>
    </r>
    <r>
      <rPr>
        <rFont val="游ゴシック"/>
        <color theme="1"/>
        <sz val="10.0"/>
      </rPr>
      <t>(freetext)</t>
    </r>
  </si>
  <si>
    <t>評価日</t>
  </si>
  <si>
    <r>
      <rPr>
        <rFont val="Noto Sans CJK SC"/>
        <color theme="1"/>
        <sz val="10.0"/>
      </rPr>
      <t>詳細</t>
    </r>
    <r>
      <rPr>
        <rFont val="游ゴシック"/>
        <color theme="1"/>
        <sz val="10.0"/>
      </rPr>
      <t>(freetext)</t>
    </r>
  </si>
  <si>
    <t>取得範囲</t>
  </si>
  <si>
    <r>
      <rPr>
        <rFont val="Noto Sans CJK SC"/>
        <color theme="1"/>
        <sz val="10.0"/>
      </rPr>
      <t>情報セキュリティまたは個人情報保護について取得している第三者による認証や評価をす</t>
    </r>
    <r>
      <rPr>
        <rFont val="游ゴシック"/>
        <color theme="1"/>
        <sz val="10.0"/>
      </rPr>
      <t>...</t>
    </r>
  </si>
  <si>
    <t>SOC2(Type2)</t>
  </si>
  <si>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</si>
  <si>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</si>
  <si>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t>対象期間</t>
  </si>
  <si>
    <r>
      <rPr>
        <rFont val="Noto Sans CJK SC"/>
        <color theme="1"/>
        <sz val="10.0"/>
      </rPr>
      <t>詳細</t>
    </r>
    <r>
      <rPr>
        <rFont val="游ゴシック"/>
        <color theme="1"/>
        <sz val="10.0"/>
      </rPr>
      <t>(freetext)</t>
    </r>
  </si>
  <si>
    <r>
      <rPr>
        <rFont val="Noto Sans CJK SC"/>
        <color theme="1"/>
        <sz val="10.0"/>
      </rPr>
      <t>情報セキュリティまたは個人情報保護について取得している第三者による認証や評価をす</t>
    </r>
    <r>
      <rPr>
        <rFont val="游ゴシック"/>
        <color theme="1"/>
        <sz val="10.0"/>
      </rPr>
      <t>...</t>
    </r>
  </si>
  <si>
    <t>ISMAP</t>
  </si>
  <si>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</si>
  <si>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</si>
  <si>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r>
      <rPr>
        <rFont val="Noto Sans CJK SC"/>
        <color theme="1"/>
        <sz val="10.0"/>
      </rPr>
      <t>情報セキュリティまたは個人情報保護について取得している第三者による認証や評価をす</t>
    </r>
    <r>
      <rPr>
        <rFont val="游ゴシック"/>
        <color theme="1"/>
        <sz val="10.0"/>
      </rPr>
      <t>...</t>
    </r>
  </si>
  <si>
    <t>ISMAP-LIU</t>
  </si>
  <si>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</si>
  <si>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</si>
  <si>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r>
      <rPr>
        <rFont val="Noto Sans CJK SC"/>
        <color theme="1"/>
        <sz val="10.0"/>
      </rPr>
      <t>情報セキュリティまたは個人情報保護について取得している第三者による認証や評価をす</t>
    </r>
    <r>
      <rPr>
        <rFont val="游ゴシック"/>
        <color theme="1"/>
        <sz val="10.0"/>
      </rPr>
      <t>...</t>
    </r>
  </si>
  <si>
    <r>
      <rPr>
        <rFont val="Noto Sans CJK SC"/>
        <color theme="1"/>
        <sz val="10.0"/>
      </rPr>
      <t>データセンター</t>
    </r>
    <r>
      <rPr>
        <rFont val="游ゴシック"/>
        <color theme="1"/>
        <sz val="10.0"/>
      </rPr>
      <t>Tier</t>
    </r>
  </si>
  <si>
    <r>
      <rPr>
        <rFont val="Noto Sans CJK SC"/>
        <color theme="1"/>
        <sz val="10.0"/>
      </rPr>
      <t>詳細</t>
    </r>
    <r>
      <rPr>
        <rFont val="游ゴシック"/>
        <color theme="1"/>
        <sz val="10.0"/>
      </rPr>
      <t>(freetext)</t>
    </r>
  </si>
  <si>
    <r>
      <rPr>
        <rFont val="Noto Sans CJK SC"/>
        <color theme="1"/>
        <sz val="10.0"/>
      </rPr>
      <t>データセンター</t>
    </r>
    <r>
      <rPr>
        <rFont val="游ゴシック"/>
        <color theme="1"/>
        <sz val="10.0"/>
      </rPr>
      <t>Tier</t>
    </r>
  </si>
  <si>
    <t>Tiers (1-4)</t>
  </si>
  <si>
    <r>
      <rPr>
        <rFont val="Noto Sans CJK SC"/>
        <color theme="1"/>
        <sz val="10.0"/>
      </rPr>
      <t>情報セキュリティまたは個人情報保護について取得している第三者による認証や評価をす</t>
    </r>
    <r>
      <rPr>
        <rFont val="游ゴシック"/>
        <color theme="1"/>
        <sz val="10.0"/>
      </rPr>
      <t>...</t>
    </r>
  </si>
  <si>
    <t>その他</t>
  </si>
  <si>
    <r>
      <rPr>
        <rFont val="Noto Sans CJK SC"/>
        <color theme="1"/>
        <sz val="10.0"/>
      </rPr>
      <t>情報セキュリティまたは個人情報保護について取得している第三者による認証や評価をす</t>
    </r>
    <r>
      <rPr>
        <rFont val="游ゴシック"/>
        <color theme="1"/>
        <sz val="10.0"/>
      </rPr>
      <t>...</t>
    </r>
  </si>
  <si>
    <r>
      <rPr>
        <rFont val="Noto Sans CJK SC"/>
        <color theme="1"/>
        <sz val="10.0"/>
      </rPr>
      <t>情報セキュリティまたは個人情報保護について取得している第三者による認証や評価をす</t>
    </r>
    <r>
      <rPr>
        <rFont val="游ゴシック"/>
        <color theme="1"/>
        <sz val="10.0"/>
      </rPr>
      <t>...</t>
    </r>
  </si>
  <si>
    <r>
      <rPr>
        <rFont val="Noto Sans CJK SC"/>
        <color theme="1"/>
        <sz val="10.0"/>
      </rPr>
      <t>過去</t>
    </r>
    <r>
      <rPr>
        <rFont val="游ゴシック"/>
        <color theme="1"/>
        <sz val="10.0"/>
      </rPr>
      <t>2</t>
    </r>
    <r>
      <rPr>
        <rFont val="Noto Sans CJK SC"/>
        <color theme="1"/>
        <sz val="10.0"/>
      </rPr>
      <t>年間にホームページ等で公表、または監督省庁や認証機関等へ報告するレベルのセ</t>
    </r>
    <r>
      <rPr>
        <rFont val="游ゴシック"/>
        <color theme="1"/>
        <sz val="10.0"/>
      </rPr>
      <t>...</t>
    </r>
  </si>
  <si>
    <t>はい</t>
  </si>
  <si>
    <r>
      <rPr>
        <rFont val="Noto Sans CJK SC"/>
        <color theme="1"/>
        <sz val="10.0"/>
      </rPr>
      <t>過去</t>
    </r>
    <r>
      <rPr>
        <rFont val="游ゴシック"/>
        <color theme="1"/>
        <sz val="10.0"/>
      </rPr>
      <t>2</t>
    </r>
    <r>
      <rPr>
        <rFont val="Noto Sans CJK SC"/>
        <color theme="1"/>
        <sz val="10.0"/>
      </rPr>
      <t>年間にホームページ等で公表、または監督省庁や認証機関等へ報告するレベルのセ</t>
    </r>
    <r>
      <rPr>
        <rFont val="游ゴシック"/>
        <color theme="1"/>
        <sz val="10.0"/>
      </rPr>
      <t>...</t>
    </r>
  </si>
  <si>
    <t>いいえ</t>
  </si>
  <si>
    <r>
      <rPr>
        <rFont val="Noto Sans CJK SC"/>
        <color theme="1"/>
        <sz val="10.0"/>
      </rPr>
      <t>過去</t>
    </r>
    <r>
      <rPr>
        <rFont val="游ゴシック"/>
        <color theme="1"/>
        <sz val="10.0"/>
      </rPr>
      <t>2</t>
    </r>
    <r>
      <rPr>
        <rFont val="Noto Sans CJK SC"/>
        <color theme="1"/>
        <sz val="10.0"/>
      </rPr>
      <t>年間にホームページ等で公表、または監督省庁や認証機関等へ報告するレベルのセ</t>
    </r>
    <r>
      <rPr>
        <rFont val="游ゴシック"/>
        <color theme="1"/>
        <sz val="10.0"/>
      </rPr>
      <t>...</t>
    </r>
  </si>
  <si>
    <r>
      <rPr>
        <rFont val="Noto Sans CJK SC"/>
        <color theme="1"/>
        <sz val="10.0"/>
      </rPr>
      <t>個人情報保護に関して対応しているものをすべて選択してください。</t>
    </r>
    <r>
      <rPr>
        <rFont val="游ゴシック"/>
        <color theme="1"/>
        <sz val="10.0"/>
      </rPr>
      <t>...</t>
    </r>
  </si>
  <si>
    <t>個人情報保護法</t>
  </si>
  <si>
    <r>
      <rPr>
        <rFont val="Noto Sans CJK SC"/>
        <color theme="1"/>
        <sz val="10.0"/>
      </rPr>
      <t>個人情報保護に関して対応しているものをすべて選択してください。</t>
    </r>
    <r>
      <rPr>
        <rFont val="游ゴシック"/>
        <color theme="1"/>
        <sz val="10.0"/>
      </rPr>
      <t>...</t>
    </r>
  </si>
  <si>
    <r>
      <rPr>
        <rFont val="Noto Sans CJK SC"/>
        <color theme="1"/>
        <sz val="10.0"/>
      </rPr>
      <t>カリフォルニア州法（</t>
    </r>
    <r>
      <rPr>
        <rFont val="游ゴシック"/>
        <color theme="1"/>
        <sz val="10.0"/>
      </rPr>
      <t>CCPA/CPRA</t>
    </r>
    <r>
      <rPr>
        <rFont val="Noto Sans CJK SC"/>
        <color theme="1"/>
        <sz val="10.0"/>
      </rPr>
      <t>）</t>
    </r>
  </si>
  <si>
    <r>
      <rPr>
        <rFont val="Noto Sans CJK SC"/>
        <color theme="1"/>
        <sz val="10.0"/>
      </rPr>
      <t>個人情報保護に関して対応しているものをすべて選択してください。</t>
    </r>
    <r>
      <rPr>
        <rFont val="游ゴシック"/>
        <color theme="1"/>
        <sz val="10.0"/>
      </rPr>
      <t>...</t>
    </r>
  </si>
  <si>
    <r>
      <rPr>
        <rFont val="游ゴシック"/>
        <color theme="1"/>
        <sz val="10.0"/>
      </rPr>
      <t>EU</t>
    </r>
    <r>
      <rPr>
        <rFont val="Noto Sans CJK SC"/>
        <color theme="1"/>
        <sz val="10.0"/>
      </rPr>
      <t>一般データ保護規則（</t>
    </r>
    <r>
      <rPr>
        <rFont val="游ゴシック"/>
        <color theme="1"/>
        <sz val="10.0"/>
      </rPr>
      <t>GDPR</t>
    </r>
    <r>
      <rPr>
        <rFont val="Noto Sans CJK SC"/>
        <color theme="1"/>
        <sz val="10.0"/>
      </rPr>
      <t>）</t>
    </r>
  </si>
  <si>
    <r>
      <rPr>
        <rFont val="Noto Sans CJK SC"/>
        <color theme="1"/>
        <sz val="10.0"/>
      </rPr>
      <t>個人情報保護に関して対応しているものをすべて選択してください。</t>
    </r>
    <r>
      <rPr>
        <rFont val="游ゴシック"/>
        <color theme="1"/>
        <sz val="10.0"/>
      </rPr>
      <t>...</t>
    </r>
  </si>
  <si>
    <r>
      <rPr>
        <rFont val="Noto Sans CJK SC"/>
        <color theme="1"/>
        <sz val="10.0"/>
      </rPr>
      <t>個人情報保護に関して対応しているものをすべて選択してください。</t>
    </r>
    <r>
      <rPr>
        <rFont val="游ゴシック"/>
        <color theme="1"/>
        <sz val="10.0"/>
      </rPr>
      <t>...</t>
    </r>
  </si>
  <si>
    <r>
      <rPr>
        <rFont val="Noto Sans CJK SC"/>
        <color theme="1"/>
        <sz val="10.0"/>
      </rPr>
      <t>個人情報保護に関して対応しているものをすべて選択してください。</t>
    </r>
    <r>
      <rPr>
        <rFont val="游ゴシック"/>
        <color theme="1"/>
        <sz val="10.0"/>
      </rPr>
      <t>...</t>
    </r>
  </si>
  <si>
    <r>
      <rPr>
        <rFont val="Noto Sans CJK SC"/>
        <color theme="1"/>
        <sz val="10.0"/>
      </rPr>
      <t>情報セキュリティについて企業としての基本方針や規程類を定めていますか。</t>
    </r>
    <r>
      <rPr>
        <rFont val="游ゴシック"/>
        <color theme="1"/>
        <sz val="10.0"/>
      </rPr>
      <t>...</t>
    </r>
  </si>
  <si>
    <t>情報セキュリティに関する基本方針（情報セキュリティポリシー等）を策定している</t>
  </si>
  <si>
    <r>
      <rPr>
        <rFont val="Noto Sans CJK SC"/>
        <color theme="1"/>
        <sz val="10.0"/>
      </rPr>
      <t>情報セキュリティについて企業としての基本方針や規程類を定めていますか。</t>
    </r>
    <r>
      <rPr>
        <rFont val="游ゴシック"/>
        <color theme="1"/>
        <sz val="10.0"/>
      </rPr>
      <t>...</t>
    </r>
  </si>
  <si>
    <t>情報セキュリティに関する規程類（対策基準やガイドライン等）を策定している</t>
  </si>
  <si>
    <r>
      <rPr>
        <rFont val="Noto Sans CJK SC"/>
        <color theme="1"/>
        <sz val="10.0"/>
      </rPr>
      <t>情報セキュリティについて企業としての基本方針や規程類を定めていますか。</t>
    </r>
    <r>
      <rPr>
        <rFont val="游ゴシック"/>
        <color theme="1"/>
        <sz val="10.0"/>
      </rPr>
      <t>...</t>
    </r>
  </si>
  <si>
    <t>情報セキュリティに関する基本方針や規程類について、定期的な見直しを実施している</t>
  </si>
  <si>
    <r>
      <rPr>
        <rFont val="Noto Sans CJK SC"/>
        <color theme="1"/>
        <sz val="10.0"/>
      </rPr>
      <t>情報セキュリティについて企業としての基本方針や規程類を定めていますか。</t>
    </r>
    <r>
      <rPr>
        <rFont val="游ゴシック"/>
        <color theme="1"/>
        <sz val="10.0"/>
      </rPr>
      <t>...</t>
    </r>
  </si>
  <si>
    <r>
      <rPr>
        <rFont val="Noto Sans CJK SC"/>
        <color theme="1"/>
        <sz val="10.0"/>
      </rPr>
      <t>情報セキュリティについて企業としての基本方針や規程類を定めていますか。</t>
    </r>
    <r>
      <rPr>
        <rFont val="游ゴシック"/>
        <color theme="1"/>
        <sz val="10.0"/>
      </rPr>
      <t>...</t>
    </r>
  </si>
  <si>
    <r>
      <rPr>
        <rFont val="Noto Sans CJK SC"/>
        <color theme="1"/>
        <sz val="10.0"/>
      </rPr>
      <t>情報セキュリティを管理・推進するための責任者や組織体制が定められていますか。該当</t>
    </r>
    <r>
      <rPr>
        <rFont val="游ゴシック"/>
        <color theme="1"/>
        <sz val="10.0"/>
      </rPr>
      <t>...</t>
    </r>
  </si>
  <si>
    <t>情報セキュリティ管理の責任者を定め、職務範囲や権限、責任について定めている</t>
  </si>
  <si>
    <r>
      <rPr>
        <rFont val="Noto Sans CJK SC"/>
        <color theme="1"/>
        <sz val="10.0"/>
      </rPr>
      <t>情報セキュリティを管理・推進するための責任者や組織体制が定められていますか。該当</t>
    </r>
    <r>
      <rPr>
        <rFont val="游ゴシック"/>
        <color theme="1"/>
        <sz val="10.0"/>
      </rPr>
      <t>...</t>
    </r>
  </si>
  <si>
    <t>情報セキュリティ管理に関する関係部署や業務、機能を明らかにしている</t>
  </si>
  <si>
    <r>
      <rPr>
        <rFont val="Noto Sans CJK SC"/>
        <color theme="1"/>
        <sz val="10.0"/>
      </rPr>
      <t>詳細</t>
    </r>
    <r>
      <rPr>
        <rFont val="游ゴシック"/>
        <color theme="1"/>
        <sz val="10.0"/>
      </rPr>
      <t>(checkbox)</t>
    </r>
  </si>
  <si>
    <t>セキュリティリスク管理、対策推進を行う体制の整備</t>
  </si>
  <si>
    <r>
      <rPr>
        <rFont val="Noto Sans CJK SC"/>
        <color theme="1"/>
        <sz val="10.0"/>
      </rPr>
      <t>詳細</t>
    </r>
    <r>
      <rPr>
        <rFont val="游ゴシック"/>
        <color theme="1"/>
        <sz val="10.0"/>
      </rPr>
      <t>(checkbox)</t>
    </r>
  </si>
  <si>
    <t>脅威分析や情報収集を実施する脅威インテリジェンス体制の整備</t>
  </si>
  <si>
    <r>
      <rPr>
        <rFont val="Noto Sans CJK SC"/>
        <color theme="1"/>
        <sz val="10.0"/>
      </rPr>
      <t>詳細</t>
    </r>
    <r>
      <rPr>
        <rFont val="游ゴシック"/>
        <color theme="1"/>
        <sz val="10.0"/>
      </rPr>
      <t>(checkbox)</t>
    </r>
  </si>
  <si>
    <r>
      <rPr>
        <rFont val="Noto Sans CJK SC"/>
        <color theme="1"/>
        <sz val="10.0"/>
      </rPr>
      <t>サイバー攻撃に対する監視体制の整備（</t>
    </r>
    <r>
      <rPr>
        <rFont val="游ゴシック"/>
        <color theme="1"/>
        <sz val="10.0"/>
      </rPr>
      <t>SOC</t>
    </r>
    <r>
      <rPr>
        <rFont val="Noto Sans CJK SC"/>
        <color theme="1"/>
        <sz val="10.0"/>
      </rPr>
      <t>等 ※</t>
    </r>
    <r>
      <rPr>
        <rFont val="游ゴシック"/>
        <color theme="1"/>
        <sz val="10.0"/>
      </rPr>
      <t>MSS</t>
    </r>
    <r>
      <rPr>
        <rFont val="Noto Sans CJK SC"/>
        <color theme="1"/>
        <sz val="10.0"/>
      </rPr>
      <t>など外部のリソース活用を含む）</t>
    </r>
  </si>
  <si>
    <r>
      <rPr>
        <rFont val="Noto Sans CJK SC"/>
        <color theme="1"/>
        <sz val="10.0"/>
      </rPr>
      <t>詳細</t>
    </r>
    <r>
      <rPr>
        <rFont val="游ゴシック"/>
        <color theme="1"/>
        <sz val="10.0"/>
      </rPr>
      <t>(checkbox)</t>
    </r>
  </si>
  <si>
    <r>
      <rPr>
        <rFont val="Noto Sans CJK SC"/>
        <color theme="1"/>
        <sz val="10.0"/>
      </rPr>
      <t>セキュリティインシデントが発生した場合の対応体制の整備（</t>
    </r>
    <r>
      <rPr>
        <rFont val="游ゴシック"/>
        <color theme="1"/>
        <sz val="10.0"/>
      </rPr>
      <t>CSIRT</t>
    </r>
    <r>
      <rPr>
        <rFont val="Noto Sans CJK SC"/>
        <color theme="1"/>
        <sz val="10.0"/>
      </rPr>
      <t>等）</t>
    </r>
  </si>
  <si>
    <r>
      <rPr>
        <rFont val="Noto Sans CJK SC"/>
        <color theme="1"/>
        <sz val="10.0"/>
      </rPr>
      <t>詳細</t>
    </r>
    <r>
      <rPr>
        <rFont val="游ゴシック"/>
        <color theme="1"/>
        <sz val="10.0"/>
      </rPr>
      <t>(checkbox)</t>
    </r>
  </si>
  <si>
    <r>
      <rPr>
        <rFont val="Noto Sans CJK SC"/>
        <color theme="1"/>
        <sz val="10.0"/>
      </rPr>
      <t>情報セキュリティを管理・推進するための責任者や組織体制が定められていますか。該当</t>
    </r>
    <r>
      <rPr>
        <rFont val="游ゴシック"/>
        <color theme="1"/>
        <sz val="10.0"/>
      </rPr>
      <t>...</t>
    </r>
  </si>
  <si>
    <t>情報セキュリティ体制について、通常時だけでなく有事を想定した役割や責任を定めている</t>
  </si>
  <si>
    <r>
      <rPr>
        <rFont val="Noto Sans CJK SC"/>
        <color theme="1"/>
        <sz val="10.0"/>
      </rPr>
      <t>情報セキュリティを管理・推進するための責任者や組織体制が定められていますか。該当</t>
    </r>
    <r>
      <rPr>
        <rFont val="游ゴシック"/>
        <color theme="1"/>
        <sz val="10.0"/>
      </rPr>
      <t>...</t>
    </r>
  </si>
  <si>
    <t>セキュリティ人材の育成・確保のための計画を策定している</t>
  </si>
  <si>
    <r>
      <rPr>
        <rFont val="Noto Sans CJK SC"/>
        <color theme="1"/>
        <sz val="10.0"/>
      </rPr>
      <t>情報セキュリティを管理・推進するための責任者や組織体制が定められていますか。該当</t>
    </r>
    <r>
      <rPr>
        <rFont val="游ゴシック"/>
        <color theme="1"/>
        <sz val="10.0"/>
      </rPr>
      <t>...</t>
    </r>
  </si>
  <si>
    <t>自社の責任範囲と外部委託先や外部サービスとの責任範囲を明確にしている</t>
  </si>
  <si>
    <r>
      <rPr>
        <rFont val="Noto Sans CJK SC"/>
        <color theme="1"/>
        <sz val="10.0"/>
      </rPr>
      <t>情報セキュリティを管理・推進するための責任者や組織体制が定められていますか。該当</t>
    </r>
    <r>
      <rPr>
        <rFont val="游ゴシック"/>
        <color theme="1"/>
        <sz val="10.0"/>
      </rPr>
      <t>...</t>
    </r>
  </si>
  <si>
    <r>
      <rPr>
        <rFont val="Noto Sans CJK SC"/>
        <color theme="1"/>
        <sz val="10.0"/>
      </rPr>
      <t>情報セキュリティを管理・推進するための責任者や組織体制が定められていますか。該当</t>
    </r>
    <r>
      <rPr>
        <rFont val="游ゴシック"/>
        <color theme="1"/>
        <sz val="10.0"/>
      </rPr>
      <t>...</t>
    </r>
  </si>
  <si>
    <r>
      <rPr>
        <rFont val="Noto Sans CJK SC"/>
        <color theme="1"/>
        <sz val="10.0"/>
      </rPr>
      <t>セキュリティリスク管理として実施していることをすべて選択してください。</t>
    </r>
    <r>
      <rPr>
        <rFont val="游ゴシック"/>
        <color theme="1"/>
        <sz val="10.0"/>
      </rPr>
      <t>...</t>
    </r>
  </si>
  <si>
    <t>セキュリティリスクの管理プロセスを策定している</t>
  </si>
  <si>
    <r>
      <rPr>
        <rFont val="Noto Sans CJK SC"/>
        <color theme="1"/>
        <sz val="10.0"/>
      </rPr>
      <t>詳細</t>
    </r>
    <r>
      <rPr>
        <rFont val="游ゴシック"/>
        <color theme="1"/>
        <sz val="10.0"/>
      </rPr>
      <t>(checkbox)</t>
    </r>
  </si>
  <si>
    <t>セキュリティリスクの特定と評価に関する手続</t>
  </si>
  <si>
    <r>
      <rPr>
        <rFont val="Noto Sans CJK SC"/>
        <color theme="1"/>
        <sz val="10.0"/>
      </rPr>
      <t>詳細</t>
    </r>
    <r>
      <rPr>
        <rFont val="游ゴシック"/>
        <color theme="1"/>
        <sz val="10.0"/>
      </rPr>
      <t>(checkbox)</t>
    </r>
  </si>
  <si>
    <t>リスク対応における標準的な対応手続と例外的な対応手続</t>
  </si>
  <si>
    <r>
      <rPr>
        <rFont val="Noto Sans CJK SC"/>
        <color theme="1"/>
        <sz val="10.0"/>
      </rPr>
      <t>詳細</t>
    </r>
    <r>
      <rPr>
        <rFont val="游ゴシック"/>
        <color theme="1"/>
        <sz val="10.0"/>
      </rPr>
      <t>(checkbox)</t>
    </r>
  </si>
  <si>
    <r>
      <rPr>
        <rFont val="Noto Sans CJK SC"/>
        <color theme="1"/>
        <sz val="10.0"/>
      </rPr>
      <t>セキュリティリスク管理として実施していることをすべて選択してください。</t>
    </r>
    <r>
      <rPr>
        <rFont val="游ゴシック"/>
        <color theme="1"/>
        <sz val="10.0"/>
      </rPr>
      <t>...</t>
    </r>
  </si>
  <si>
    <t>セキュリティリスクへの対応計画を策定している</t>
  </si>
  <si>
    <r>
      <rPr>
        <rFont val="Noto Sans CJK SC"/>
        <color theme="1"/>
        <sz val="10.0"/>
      </rPr>
      <t>セキュリティリスク管理として実施していることをすべて選択してください。</t>
    </r>
    <r>
      <rPr>
        <rFont val="游ゴシック"/>
        <color theme="1"/>
        <sz val="10.0"/>
      </rPr>
      <t>...</t>
    </r>
  </si>
  <si>
    <t>経営層に対応進捗・結果などが報告されている</t>
  </si>
  <si>
    <r>
      <rPr>
        <rFont val="Noto Sans CJK SC"/>
        <color theme="1"/>
        <sz val="10.0"/>
      </rPr>
      <t>セキュリティリスク管理として実施していることをすべて選択してください。</t>
    </r>
    <r>
      <rPr>
        <rFont val="游ゴシック"/>
        <color theme="1"/>
        <sz val="10.0"/>
      </rPr>
      <t>...</t>
    </r>
  </si>
  <si>
    <t>定期的なセキュリティリスク評価を行っている</t>
  </si>
  <si>
    <r>
      <rPr>
        <rFont val="Noto Sans CJK SC"/>
        <color theme="1"/>
        <sz val="10.0"/>
      </rPr>
      <t>セキュリティリスク管理として実施していることをすべて選択してください。</t>
    </r>
    <r>
      <rPr>
        <rFont val="游ゴシック"/>
        <color theme="1"/>
        <sz val="10.0"/>
      </rPr>
      <t>...</t>
    </r>
  </si>
  <si>
    <r>
      <rPr>
        <rFont val="Noto Sans CJK SC"/>
        <color theme="1"/>
        <sz val="10.0"/>
      </rPr>
      <t>セキュリティリスク管理として実施していることをすべて選択してください。</t>
    </r>
    <r>
      <rPr>
        <rFont val="游ゴシック"/>
        <color theme="1"/>
        <sz val="10.0"/>
      </rPr>
      <t>...</t>
    </r>
  </si>
  <si>
    <r>
      <rPr>
        <rFont val="Noto Sans CJK SC"/>
        <color theme="1"/>
        <sz val="10.0"/>
      </rPr>
      <t>セキュリティ対策が正しく実装され意図したとおり運用されているか、関連法令や規制、</t>
    </r>
    <r>
      <rPr>
        <rFont val="游ゴシック"/>
        <color theme="1"/>
        <sz val="10.0"/>
      </rPr>
      <t>...</t>
    </r>
  </si>
  <si>
    <t>内部監査もしくは内部評価</t>
  </si>
  <si>
    <r>
      <rPr>
        <rFont val="Noto Sans CJK SC"/>
        <color theme="1"/>
        <sz val="10.0"/>
      </rPr>
      <t>詳細</t>
    </r>
    <r>
      <rPr>
        <rFont val="游ゴシック"/>
        <color theme="1"/>
        <sz val="10.0"/>
      </rPr>
      <t>(freetext)</t>
    </r>
  </si>
  <si>
    <t>実施頻度</t>
  </si>
  <si>
    <r>
      <rPr>
        <rFont val="Noto Sans CJK SC"/>
        <color theme="1"/>
        <sz val="10.0"/>
      </rPr>
      <t>詳細</t>
    </r>
    <r>
      <rPr>
        <rFont val="游ゴシック"/>
        <color theme="1"/>
        <sz val="10.0"/>
      </rPr>
      <t>(freetext)</t>
    </r>
  </si>
  <si>
    <t>最終実施年月</t>
  </si>
  <si>
    <r>
      <rPr>
        <rFont val="Noto Sans CJK SC"/>
        <color theme="1"/>
        <sz val="10.0"/>
      </rPr>
      <t>セキュリティ対策が正しく実装され意図したとおり運用されているか、関連法令や規制、</t>
    </r>
    <r>
      <rPr>
        <rFont val="游ゴシック"/>
        <color theme="1"/>
        <sz val="10.0"/>
      </rPr>
      <t>...</t>
    </r>
  </si>
  <si>
    <t>外部監査もしくは外部評価</t>
  </si>
  <si>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</si>
  <si>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</si>
  <si>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r>
      <rPr>
        <rFont val="Noto Sans CJK SC"/>
        <color theme="1"/>
        <sz val="10.0"/>
      </rPr>
      <t>セキュリティ対策が正しく実装され意図したとおり運用されているか、関連法令や規制、</t>
    </r>
    <r>
      <rPr>
        <rFont val="游ゴシック"/>
        <color theme="1"/>
        <sz val="10.0"/>
      </rPr>
      <t>...</t>
    </r>
  </si>
  <si>
    <r>
      <rPr>
        <rFont val="Noto Sans CJK SC"/>
        <color theme="1"/>
        <sz val="10.0"/>
      </rPr>
      <t>セキュリティ対策が正しく実装され意図したとおり運用されているか、関連法令や規制、</t>
    </r>
    <r>
      <rPr>
        <rFont val="游ゴシック"/>
        <color theme="1"/>
        <sz val="10.0"/>
      </rPr>
      <t>...</t>
    </r>
  </si>
  <si>
    <r>
      <rPr>
        <rFont val="Noto Sans CJK SC"/>
        <color theme="1"/>
        <sz val="10.0"/>
      </rPr>
      <t>セキュリティインシデントやシステム障害へ対応するための役割や連絡体制について、定</t>
    </r>
    <r>
      <rPr>
        <rFont val="游ゴシック"/>
        <color theme="1"/>
        <sz val="10.0"/>
      </rPr>
      <t>...</t>
    </r>
  </si>
  <si>
    <t>セキュリティインシデントやシステム障害が発生した場合の役割および責任を文書化している</t>
  </si>
  <si>
    <r>
      <rPr>
        <rFont val="Noto Sans CJK SC"/>
        <color theme="1"/>
        <sz val="10.0"/>
      </rPr>
      <t>セキュリティインシデントやシステム障害へ対応するための役割や連絡体制について、定</t>
    </r>
    <r>
      <rPr>
        <rFont val="游ゴシック"/>
        <color theme="1"/>
        <sz val="10.0"/>
      </rPr>
      <t>...</t>
    </r>
  </si>
  <si>
    <t>セキュリティインシデントやシステム障害が発生した場合の連絡先や連絡体制、エスカレーションフローを文書化している</t>
  </si>
  <si>
    <r>
      <rPr>
        <rFont val="Noto Sans CJK SC"/>
        <color theme="1"/>
        <sz val="10.0"/>
      </rPr>
      <t>詳細</t>
    </r>
    <r>
      <rPr>
        <rFont val="游ゴシック"/>
        <color theme="1"/>
        <sz val="10.0"/>
      </rPr>
      <t>(checkbox)</t>
    </r>
  </si>
  <si>
    <t>自社内の連絡体制、エスカレーションフロー</t>
  </si>
  <si>
    <r>
      <rPr>
        <rFont val="Noto Sans CJK SC"/>
        <color theme="1"/>
        <sz val="10.0"/>
      </rPr>
      <t>詳細</t>
    </r>
    <r>
      <rPr>
        <rFont val="游ゴシック"/>
        <color theme="1"/>
        <sz val="10.0"/>
      </rPr>
      <t>(checkbox)</t>
    </r>
  </si>
  <si>
    <t>取引元への連絡体制、エスカレーションフロー</t>
  </si>
  <si>
    <r>
      <rPr>
        <rFont val="Noto Sans CJK SC"/>
        <color theme="1"/>
        <sz val="10.0"/>
      </rPr>
      <t>詳細</t>
    </r>
    <r>
      <rPr>
        <rFont val="游ゴシック"/>
        <color theme="1"/>
        <sz val="10.0"/>
      </rPr>
      <t>(checkbox)</t>
    </r>
  </si>
  <si>
    <r>
      <rPr>
        <rFont val="Noto Sans CJK SC"/>
        <color theme="1"/>
        <sz val="10.0"/>
      </rPr>
      <t>セキュリティインシデントやシステム障害へ対応するための役割や連絡体制について、定</t>
    </r>
    <r>
      <rPr>
        <rFont val="游ゴシック"/>
        <color theme="1"/>
        <sz val="10.0"/>
      </rPr>
      <t>...</t>
    </r>
  </si>
  <si>
    <t>文書化した内容を定期的に見直している</t>
  </si>
  <si>
    <r>
      <rPr>
        <rFont val="Noto Sans CJK SC"/>
        <color theme="1"/>
        <sz val="10.0"/>
      </rPr>
      <t>セキュリティインシデントやシステム障害へ対応するための役割や連絡体制について、定</t>
    </r>
    <r>
      <rPr>
        <rFont val="游ゴシック"/>
        <color theme="1"/>
        <sz val="10.0"/>
      </rPr>
      <t>...</t>
    </r>
  </si>
  <si>
    <r>
      <rPr>
        <rFont val="Noto Sans CJK SC"/>
        <color theme="1"/>
        <sz val="10.0"/>
      </rPr>
      <t>セキュリティインシデントやシステム障害へ対応するための役割や連絡体制について、定</t>
    </r>
    <r>
      <rPr>
        <rFont val="游ゴシック"/>
        <color theme="1"/>
        <sz val="10.0"/>
      </rPr>
      <t>...</t>
    </r>
  </si>
  <si>
    <r>
      <rPr>
        <rFont val="Noto Sans CJK SC"/>
        <color theme="1"/>
        <sz val="10.0"/>
      </rPr>
      <t>セキュリティインシデントやシステム障害に備えて、平時から対応していることをすべて</t>
    </r>
    <r>
      <rPr>
        <rFont val="游ゴシック"/>
        <color theme="1"/>
        <sz val="10.0"/>
      </rPr>
      <t>...</t>
    </r>
  </si>
  <si>
    <t>脅威情報（インシデント事例等）を収集し、自社の事業・情報資産に与える影響を評価している</t>
  </si>
  <si>
    <r>
      <rPr>
        <rFont val="Noto Sans CJK SC"/>
        <color theme="1"/>
        <sz val="10.0"/>
      </rPr>
      <t>セキュリティインシデントやシステム障害に備えて、平時から対応していることをすべて</t>
    </r>
    <r>
      <rPr>
        <rFont val="游ゴシック"/>
        <color theme="1"/>
        <sz val="10.0"/>
      </rPr>
      <t>...</t>
    </r>
  </si>
  <si>
    <t>（取引元からの要請があった場合）収集した脅威情報について、取引元へ提供可能である</t>
  </si>
  <si>
    <r>
      <rPr>
        <rFont val="Noto Sans CJK SC"/>
        <color theme="1"/>
        <sz val="10.0"/>
      </rPr>
      <t>セキュリティインシデントやシステム障害に備えて、平時から対応していることをすべて</t>
    </r>
    <r>
      <rPr>
        <rFont val="游ゴシック"/>
        <color theme="1"/>
        <sz val="10.0"/>
      </rPr>
      <t>...</t>
    </r>
  </si>
  <si>
    <t>セキュリティインシデントやシステム障害へ対応するためのインシデント対応マニュアルを策定している</t>
  </si>
  <si>
    <r>
      <rPr>
        <rFont val="Noto Sans CJK SC"/>
        <color theme="1"/>
        <sz val="10.0"/>
      </rPr>
      <t>詳細</t>
    </r>
    <r>
      <rPr>
        <rFont val="游ゴシック"/>
        <color theme="1"/>
        <sz val="10.0"/>
      </rPr>
      <t>(checkbox)</t>
    </r>
  </si>
  <si>
    <t>インシデントによる業務影響・対応優先度・原因に関する分析</t>
  </si>
  <si>
    <r>
      <rPr>
        <rFont val="Noto Sans CJK SC"/>
        <color theme="1"/>
        <sz val="10.0"/>
      </rPr>
      <t>詳細</t>
    </r>
    <r>
      <rPr>
        <rFont val="游ゴシック"/>
        <color theme="1"/>
        <sz val="10.0"/>
      </rPr>
      <t>(checkbox)</t>
    </r>
  </si>
  <si>
    <t>証拠・ログの保全</t>
  </si>
  <si>
    <r>
      <rPr>
        <rFont val="Noto Sans CJK SC"/>
        <color theme="1"/>
        <sz val="10.0"/>
      </rPr>
      <t>詳細</t>
    </r>
    <r>
      <rPr>
        <rFont val="游ゴシック"/>
        <color theme="1"/>
        <sz val="10.0"/>
      </rPr>
      <t>(checkbox)</t>
    </r>
  </si>
  <si>
    <t>インシデント対応の記録（インシデントの内容、その対応において取られた行動内容や調査における収集ログの一覧等）</t>
  </si>
  <si>
    <r>
      <rPr>
        <rFont val="Noto Sans CJK SC"/>
        <color theme="1"/>
        <sz val="10.0"/>
      </rPr>
      <t>詳細</t>
    </r>
    <r>
      <rPr>
        <rFont val="游ゴシック"/>
        <color theme="1"/>
        <sz val="10.0"/>
      </rPr>
      <t>(checkbox)</t>
    </r>
  </si>
  <si>
    <t>サイバー攻撃に対する封じ込め・根絶</t>
  </si>
  <si>
    <r>
      <rPr>
        <rFont val="Noto Sans CJK SC"/>
        <color theme="1"/>
        <sz val="10.0"/>
      </rPr>
      <t>詳細</t>
    </r>
    <r>
      <rPr>
        <rFont val="游ゴシック"/>
        <color theme="1"/>
        <sz val="10.0"/>
      </rPr>
      <t>(checkbox)</t>
    </r>
  </si>
  <si>
    <t>正常状態への復旧・復旧後の正常稼働確認</t>
  </si>
  <si>
    <r>
      <rPr>
        <rFont val="Noto Sans CJK SC"/>
        <color theme="1"/>
        <sz val="10.0"/>
      </rPr>
      <t>詳細</t>
    </r>
    <r>
      <rPr>
        <rFont val="游ゴシック"/>
        <color theme="1"/>
        <sz val="10.0"/>
      </rPr>
      <t>(checkbox)</t>
    </r>
  </si>
  <si>
    <t>インシデント対応計画の作成や見直しにおける外部委託先との連携</t>
  </si>
  <si>
    <r>
      <rPr>
        <rFont val="Noto Sans CJK SC"/>
        <color theme="1"/>
        <sz val="10.0"/>
      </rPr>
      <t>詳細</t>
    </r>
    <r>
      <rPr>
        <rFont val="游ゴシック"/>
        <color theme="1"/>
        <sz val="10.0"/>
      </rPr>
      <t>(checkbox)</t>
    </r>
  </si>
  <si>
    <r>
      <rPr>
        <rFont val="Noto Sans CJK SC"/>
        <color theme="1"/>
        <sz val="10.0"/>
      </rPr>
      <t>セキュリティインシデントやシステム障害に備えて、平時から対応していることをすべて</t>
    </r>
    <r>
      <rPr>
        <rFont val="游ゴシック"/>
        <color theme="1"/>
        <sz val="10.0"/>
      </rPr>
      <t>...</t>
    </r>
  </si>
  <si>
    <t>セキュリティインシデントやシステム障害へ対応するためのインシデント対応マニュアルを定期的に見直している</t>
  </si>
  <si>
    <r>
      <rPr>
        <rFont val="Noto Sans CJK SC"/>
        <color theme="1"/>
        <sz val="10.0"/>
      </rPr>
      <t>セキュリティインシデントやシステム障害に備えて、平時から対応していることをすべて</t>
    </r>
    <r>
      <rPr>
        <rFont val="游ゴシック"/>
        <color theme="1"/>
        <sz val="10.0"/>
      </rPr>
      <t>...</t>
    </r>
  </si>
  <si>
    <t>インシデント対応や訓練から学んだ教訓をインシデント対応マニュアルや手順に反映している</t>
  </si>
  <si>
    <r>
      <rPr>
        <rFont val="Noto Sans CJK SC"/>
        <color theme="1"/>
        <sz val="10.0"/>
      </rPr>
      <t>セキュリティインシデントやシステム障害に備えて、平時から対応していることをすべて</t>
    </r>
    <r>
      <rPr>
        <rFont val="游ゴシック"/>
        <color theme="1"/>
        <sz val="10.0"/>
      </rPr>
      <t>...</t>
    </r>
  </si>
  <si>
    <r>
      <rPr>
        <rFont val="Noto Sans CJK SC"/>
        <color theme="1"/>
        <sz val="10.0"/>
      </rPr>
      <t>セキュリティインシデントやシステム障害に備えて、平時から対応していることをすべて</t>
    </r>
    <r>
      <rPr>
        <rFont val="游ゴシック"/>
        <color theme="1"/>
        <sz val="10.0"/>
      </rPr>
      <t>...</t>
    </r>
  </si>
  <si>
    <r>
      <rPr>
        <rFont val="Noto Sans CJK SC"/>
        <color theme="1"/>
        <sz val="10.0"/>
      </rPr>
      <t>従業員に対するセキュリティ教育として実施していることをすべて選択してください。</t>
    </r>
    <r>
      <rPr>
        <rFont val="游ゴシック"/>
        <color theme="1"/>
        <sz val="10.0"/>
      </rPr>
      <t>...</t>
    </r>
  </si>
  <si>
    <t>情報セキュリティおよび重要情報の取扱いに関する意識向上のため、定期的に教育を実施している</t>
  </si>
  <si>
    <r>
      <rPr>
        <rFont val="Noto Sans CJK SC"/>
        <color theme="1"/>
        <sz val="10.0"/>
      </rPr>
      <t>詳細</t>
    </r>
    <r>
      <rPr>
        <rFont val="游ゴシック"/>
        <color theme="1"/>
        <sz val="10.0"/>
      </rPr>
      <t>(freetext)</t>
    </r>
  </si>
  <si>
    <t>頻度</t>
  </si>
  <si>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</si>
  <si>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</si>
  <si>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t>教育のテーマやトピック</t>
  </si>
  <si>
    <r>
      <rPr>
        <rFont val="Noto Sans CJK SC"/>
        <color theme="1"/>
        <sz val="10.0"/>
      </rPr>
      <t>従業員に対するセキュリティ教育として実施していることをすべて選択してください。</t>
    </r>
    <r>
      <rPr>
        <rFont val="游ゴシック"/>
        <color theme="1"/>
        <sz val="10.0"/>
      </rPr>
      <t>...</t>
    </r>
  </si>
  <si>
    <t>セキュリティインシデントを想定した演習や訓練を実施している</t>
  </si>
  <si>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</si>
  <si>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</si>
  <si>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</si>
  <si>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t>内容</t>
  </si>
  <si>
    <r>
      <rPr>
        <rFont val="Noto Sans CJK SC"/>
        <color theme="1"/>
        <sz val="10.0"/>
      </rPr>
      <t>従業員に対するセキュリティ教育として実施していることをすべて選択してください。</t>
    </r>
    <r>
      <rPr>
        <rFont val="游ゴシック"/>
        <color theme="1"/>
        <sz val="10.0"/>
      </rPr>
      <t>...</t>
    </r>
  </si>
  <si>
    <r>
      <rPr>
        <rFont val="Noto Sans CJK SC"/>
        <color theme="1"/>
        <sz val="10.0"/>
      </rPr>
      <t>従業員に対するセキュリティ教育として実施していることをすべて選択してください。</t>
    </r>
    <r>
      <rPr>
        <rFont val="游ゴシック"/>
        <color theme="1"/>
        <sz val="10.0"/>
      </rPr>
      <t>...</t>
    </r>
  </si>
  <si>
    <r>
      <rPr>
        <rFont val="Noto Sans CJK SC"/>
        <color theme="1"/>
        <sz val="10.0"/>
      </rPr>
      <t>従業員に対するセキュリティ教育として実施していることをすべて選択してください。</t>
    </r>
    <r>
      <rPr>
        <rFont val="游ゴシック"/>
        <color theme="1"/>
        <sz val="10.0"/>
      </rPr>
      <t>...</t>
    </r>
  </si>
  <si>
    <r>
      <rPr>
        <rFont val="Noto Sans CJK SC"/>
        <color theme="1"/>
        <sz val="10.0"/>
      </rPr>
      <t>従業員からの情報漏えいについて、罰則規定や守秘義務契約が整備されていますか。該当</t>
    </r>
    <r>
      <rPr>
        <rFont val="游ゴシック"/>
        <color theme="1"/>
        <sz val="10.0"/>
      </rPr>
      <t>...</t>
    </r>
  </si>
  <si>
    <t>情報漏えいに関する罰則規定を設けている</t>
  </si>
  <si>
    <r>
      <rPr>
        <rFont val="Noto Sans CJK SC"/>
        <color theme="1"/>
        <sz val="10.0"/>
      </rPr>
      <t>従業員からの情報漏えいについて、罰則規定や守秘義務契約が整備されていますか。該当</t>
    </r>
    <r>
      <rPr>
        <rFont val="游ゴシック"/>
        <color theme="1"/>
        <sz val="10.0"/>
      </rPr>
      <t>...</t>
    </r>
  </si>
  <si>
    <t>従業員に対して、業務上知りえた情報に対する守秘義務契約や誓約書を求めている</t>
  </si>
  <si>
    <r>
      <rPr>
        <rFont val="Noto Sans CJK SC"/>
        <color theme="1"/>
        <sz val="10.0"/>
      </rPr>
      <t>従業員からの情報漏えいについて、罰則規定や守秘義務契約が整備されていますか。該当</t>
    </r>
    <r>
      <rPr>
        <rFont val="游ゴシック"/>
        <color theme="1"/>
        <sz val="10.0"/>
      </rPr>
      <t>...</t>
    </r>
  </si>
  <si>
    <t>退職する従業員に対して、退職後の守秘義務に関する誓約書を求めている</t>
  </si>
  <si>
    <r>
      <rPr>
        <rFont val="Noto Sans CJK SC"/>
        <color theme="1"/>
        <sz val="10.0"/>
      </rPr>
      <t>従業員からの情報漏えいについて、罰則規定や守秘義務契約が整備されていますか。該当</t>
    </r>
    <r>
      <rPr>
        <rFont val="游ゴシック"/>
        <color theme="1"/>
        <sz val="10.0"/>
      </rPr>
      <t>...</t>
    </r>
  </si>
  <si>
    <r>
      <rPr>
        <rFont val="Noto Sans CJK SC"/>
        <color theme="1"/>
        <sz val="10.0"/>
      </rPr>
      <t>退職する従業員に対して、決められた期間内での貸与資産（</t>
    </r>
    <r>
      <rPr>
        <rFont val="游ゴシック"/>
        <color theme="1"/>
        <sz val="10.0"/>
      </rPr>
      <t>PC</t>
    </r>
    <r>
      <rPr>
        <rFont val="Noto Sans CJK SC"/>
        <color theme="1"/>
        <sz val="10.0"/>
      </rPr>
      <t>、モバイルデバイス、外部記憶媒体等）の返却を求めている</t>
    </r>
  </si>
  <si>
    <r>
      <rPr>
        <rFont val="Noto Sans CJK SC"/>
        <color theme="1"/>
        <sz val="10.0"/>
      </rPr>
      <t>従業員からの情報漏えいについて、罰則規定や守秘義務契約が整備されていますか。該当</t>
    </r>
    <r>
      <rPr>
        <rFont val="游ゴシック"/>
        <color theme="1"/>
        <sz val="10.0"/>
      </rPr>
      <t>...</t>
    </r>
  </si>
  <si>
    <r>
      <rPr>
        <rFont val="Noto Sans CJK SC"/>
        <color theme="1"/>
        <sz val="10.0"/>
      </rPr>
      <t>従業員からの情報漏えいについて、罰則規定や守秘義務契約が整備されていますか。該当</t>
    </r>
    <r>
      <rPr>
        <rFont val="游ゴシック"/>
        <color theme="1"/>
        <sz val="10.0"/>
      </rPr>
      <t>...</t>
    </r>
  </si>
  <si>
    <r>
      <rPr>
        <rFont val="Noto Sans CJK SC"/>
        <color theme="1"/>
        <sz val="10.0"/>
      </rPr>
      <t>従業員からの情報漏えいについて、罰則規定や守秘義務契約が整備されていますか。該当</t>
    </r>
    <r>
      <rPr>
        <rFont val="游ゴシック"/>
        <color theme="1"/>
        <sz val="10.0"/>
      </rPr>
      <t>...</t>
    </r>
  </si>
  <si>
    <r>
      <rPr>
        <rFont val="Noto Sans CJK SC"/>
        <color theme="1"/>
        <sz val="10.0"/>
      </rPr>
      <t>情報資産管理について実施していることをすべて選択してください。</t>
    </r>
    <r>
      <rPr>
        <rFont val="游ゴシック"/>
        <color theme="1"/>
        <sz val="10.0"/>
      </rPr>
      <t>...</t>
    </r>
  </si>
  <si>
    <t>情報資産（端末、システム、外部サービス、顧客情報、機密情報等）の定義を定めている</t>
  </si>
  <si>
    <r>
      <rPr>
        <rFont val="Noto Sans CJK SC"/>
        <color theme="1"/>
        <sz val="10.0"/>
      </rPr>
      <t>情報資産管理について実施していることをすべて選択してください。</t>
    </r>
    <r>
      <rPr>
        <rFont val="游ゴシック"/>
        <color theme="1"/>
        <sz val="10.0"/>
      </rPr>
      <t>...</t>
    </r>
  </si>
  <si>
    <t>情報資産の管理プロセスおよび重要度の判定基準を定めている</t>
  </si>
  <si>
    <r>
      <rPr>
        <rFont val="Noto Sans CJK SC"/>
        <color theme="1"/>
        <sz val="10.0"/>
      </rPr>
      <t>情報資産管理について実施していることをすべて選択してください。</t>
    </r>
    <r>
      <rPr>
        <rFont val="游ゴシック"/>
        <color theme="1"/>
        <sz val="10.0"/>
      </rPr>
      <t>...</t>
    </r>
  </si>
  <si>
    <t>情報資産について、資産台帳等を作成し管理対象を把握している</t>
  </si>
  <si>
    <r>
      <rPr>
        <rFont val="Noto Sans CJK SC"/>
        <color theme="1"/>
        <sz val="10.0"/>
      </rPr>
      <t>情報資産管理について実施していることをすべて選択してください。</t>
    </r>
    <r>
      <rPr>
        <rFont val="游ゴシック"/>
        <color theme="1"/>
        <sz val="10.0"/>
      </rPr>
      <t>...</t>
    </r>
  </si>
  <si>
    <t>情報資産について、資産台帳等を定期的に更新している</t>
  </si>
  <si>
    <r>
      <rPr>
        <rFont val="Noto Sans CJK SC"/>
        <color theme="1"/>
        <sz val="10.0"/>
      </rPr>
      <t>情報資産管理について実施していることをすべて選択してください。</t>
    </r>
    <r>
      <rPr>
        <rFont val="游ゴシック"/>
        <color theme="1"/>
        <sz val="10.0"/>
      </rPr>
      <t>...</t>
    </r>
  </si>
  <si>
    <r>
      <rPr>
        <rFont val="Noto Sans CJK SC"/>
        <color theme="1"/>
        <sz val="10.0"/>
      </rPr>
      <t>情報資産管理について実施していることをすべて選択してください。</t>
    </r>
    <r>
      <rPr>
        <rFont val="游ゴシック"/>
        <color theme="1"/>
        <sz val="10.0"/>
      </rPr>
      <t>...</t>
    </r>
  </si>
  <si>
    <r>
      <rPr>
        <rFont val="Noto Sans CJK SC"/>
        <color theme="1"/>
        <sz val="10.0"/>
      </rPr>
      <t>持ち運び可能な外部記憶媒体を利用していますか。</t>
    </r>
    <r>
      <rPr>
        <rFont val="游ゴシック"/>
        <color theme="1"/>
        <sz val="10.0"/>
      </rPr>
      <t>...</t>
    </r>
  </si>
  <si>
    <r>
      <rPr>
        <rFont val="Noto Sans CJK SC"/>
        <color theme="1"/>
        <sz val="10.0"/>
      </rPr>
      <t>持ち運び可能な外部記憶媒体を利用していますか。</t>
    </r>
    <r>
      <rPr>
        <rFont val="游ゴシック"/>
        <color theme="1"/>
        <sz val="10.0"/>
      </rPr>
      <t>...</t>
    </r>
  </si>
  <si>
    <r>
      <rPr>
        <rFont val="Noto Sans CJK SC"/>
        <color theme="1"/>
        <sz val="10.0"/>
      </rPr>
      <t>持ち運び可能な外部記憶媒体を利用していますか。</t>
    </r>
    <r>
      <rPr>
        <rFont val="游ゴシック"/>
        <color theme="1"/>
        <sz val="10.0"/>
      </rPr>
      <t>...</t>
    </r>
  </si>
  <si>
    <r>
      <rPr>
        <rFont val="Noto Sans CJK SC"/>
        <color theme="1"/>
        <sz val="10.0"/>
      </rPr>
      <t>持ち運び可能な外部記憶媒体の取り扱いについて、実施している対策をすべて選択してく</t>
    </r>
    <r>
      <rPr>
        <rFont val="游ゴシック"/>
        <color theme="1"/>
        <sz val="10.0"/>
      </rPr>
      <t>...</t>
    </r>
  </si>
  <si>
    <t>持ち運び可能な外部記憶媒体の利用や管理に関するルールを定めている</t>
  </si>
  <si>
    <r>
      <rPr>
        <rFont val="Noto Sans CJK SC"/>
        <color theme="1"/>
        <sz val="10.0"/>
      </rPr>
      <t>持ち運び可能な外部記憶媒体の取り扱いについて、実施している対策をすべて選択してく</t>
    </r>
    <r>
      <rPr>
        <rFont val="游ゴシック"/>
        <color theme="1"/>
        <sz val="10.0"/>
      </rPr>
      <t>...</t>
    </r>
  </si>
  <si>
    <t>持ち運び可能な外部記憶媒体の利用や管理に関するルールを定期的に見直している</t>
  </si>
  <si>
    <r>
      <rPr>
        <rFont val="Noto Sans CJK SC"/>
        <color theme="1"/>
        <sz val="10.0"/>
      </rPr>
      <t>持ち運び可能な外部記憶媒体の取り扱いについて、実施している対策をすべて選択してく</t>
    </r>
    <r>
      <rPr>
        <rFont val="游ゴシック"/>
        <color theme="1"/>
        <sz val="10.0"/>
      </rPr>
      <t>...</t>
    </r>
  </si>
  <si>
    <t>持ち出し禁止もしくは持ち出し時の事前申請を行っている</t>
  </si>
  <si>
    <r>
      <rPr>
        <rFont val="Noto Sans CJK SC"/>
        <color theme="1"/>
        <sz val="10.0"/>
      </rPr>
      <t>持ち運び可能な外部記憶媒体の取り扱いについて、実施している対策をすべて選択してく</t>
    </r>
    <r>
      <rPr>
        <rFont val="游ゴシック"/>
        <color theme="1"/>
        <sz val="10.0"/>
      </rPr>
      <t>...</t>
    </r>
  </si>
  <si>
    <t>技術的または物理的な情報漏えい対策を実施している</t>
  </si>
  <si>
    <r>
      <rPr>
        <rFont val="Noto Sans CJK SC"/>
        <color theme="1"/>
        <sz val="10.0"/>
      </rPr>
      <t>詳細</t>
    </r>
    <r>
      <rPr>
        <rFont val="游ゴシック"/>
        <color theme="1"/>
        <sz val="10.0"/>
      </rPr>
      <t>(checkbox)</t>
    </r>
  </si>
  <si>
    <t>端末やサーバにおける外部記憶媒体の利用制限</t>
  </si>
  <si>
    <r>
      <rPr>
        <rFont val="Noto Sans CJK SC"/>
        <color theme="1"/>
        <sz val="10.0"/>
      </rPr>
      <t>詳細</t>
    </r>
    <r>
      <rPr>
        <rFont val="游ゴシック"/>
        <color theme="1"/>
        <sz val="10.0"/>
      </rPr>
      <t>(checkbox)</t>
    </r>
  </si>
  <si>
    <t>格納するファイルまたは外部記憶媒体自体の暗号化</t>
  </si>
  <si>
    <r>
      <rPr>
        <rFont val="Noto Sans CJK SC"/>
        <color theme="1"/>
        <sz val="10.0"/>
      </rPr>
      <t>詳細</t>
    </r>
    <r>
      <rPr>
        <rFont val="游ゴシック"/>
        <color theme="1"/>
        <sz val="10.0"/>
      </rPr>
      <t>(checkbox)</t>
    </r>
  </si>
  <si>
    <t>外部記憶媒体の保管場所の施錠</t>
  </si>
  <si>
    <r>
      <rPr>
        <rFont val="Noto Sans CJK SC"/>
        <color theme="1"/>
        <sz val="10.0"/>
      </rPr>
      <t>詳細</t>
    </r>
    <r>
      <rPr>
        <rFont val="游ゴシック"/>
        <color theme="1"/>
        <sz val="10.0"/>
      </rPr>
      <t>(checkbox)</t>
    </r>
  </si>
  <si>
    <r>
      <rPr>
        <rFont val="Noto Sans CJK SC"/>
        <color theme="1"/>
        <sz val="10.0"/>
      </rPr>
      <t>持ち運び可能な外部記憶媒体の取り扱いについて、実施している対策をすべて選択してく</t>
    </r>
    <r>
      <rPr>
        <rFont val="游ゴシック"/>
        <color theme="1"/>
        <sz val="10.0"/>
      </rPr>
      <t>...</t>
    </r>
  </si>
  <si>
    <r>
      <rPr>
        <rFont val="Noto Sans CJK SC"/>
        <color theme="1"/>
        <sz val="10.0"/>
      </rPr>
      <t>持ち運び可能な外部記憶媒体の取り扱いについて、実施している対策をすべて選択してく</t>
    </r>
    <r>
      <rPr>
        <rFont val="游ゴシック"/>
        <color theme="1"/>
        <sz val="10.0"/>
      </rPr>
      <t>...</t>
    </r>
  </si>
  <si>
    <r>
      <rPr>
        <rFont val="Noto Sans CJK SC"/>
        <color theme="1"/>
        <sz val="10.0"/>
      </rPr>
      <t>クリアデスク・クリアスクリーンについて、実施している対策をすべて選択してください</t>
    </r>
    <r>
      <rPr>
        <rFont val="游ゴシック"/>
        <color theme="1"/>
        <sz val="10.0"/>
      </rPr>
      <t>...</t>
    </r>
  </si>
  <si>
    <t>クリアデスク・クリアスクリーンに関するルールを定めている</t>
  </si>
  <si>
    <r>
      <rPr>
        <rFont val="Noto Sans CJK SC"/>
        <color theme="1"/>
        <sz val="10.0"/>
      </rPr>
      <t>クリアデスク・クリアスクリーンについて、実施している対策をすべて選択してください</t>
    </r>
    <r>
      <rPr>
        <rFont val="游ゴシック"/>
        <color theme="1"/>
        <sz val="10.0"/>
      </rPr>
      <t>...</t>
    </r>
  </si>
  <si>
    <t>クリアデスク・クリアスクリーンに関するルールを定期的に見直している</t>
  </si>
  <si>
    <r>
      <rPr>
        <rFont val="Noto Sans CJK SC"/>
        <color theme="1"/>
        <sz val="10.0"/>
      </rPr>
      <t>クリアデスク・クリアスクリーンについて、実施している対策をすべて選択してください</t>
    </r>
    <r>
      <rPr>
        <rFont val="游ゴシック"/>
        <color theme="1"/>
        <sz val="10.0"/>
      </rPr>
      <t>...</t>
    </r>
  </si>
  <si>
    <t>クリアデスクを実施している</t>
  </si>
  <si>
    <r>
      <rPr>
        <rFont val="Noto Sans CJK SC"/>
        <color theme="1"/>
        <sz val="10.0"/>
      </rPr>
      <t>詳細</t>
    </r>
    <r>
      <rPr>
        <rFont val="游ゴシック"/>
        <color theme="1"/>
        <sz val="10.0"/>
      </rPr>
      <t>(checkbox)</t>
    </r>
  </si>
  <si>
    <t>業務に関わる資料等について、利用時以外の書庫等への保管</t>
  </si>
  <si>
    <r>
      <rPr>
        <rFont val="Noto Sans CJK SC"/>
        <color theme="1"/>
        <sz val="10.0"/>
      </rPr>
      <t>詳細</t>
    </r>
    <r>
      <rPr>
        <rFont val="游ゴシック"/>
        <color theme="1"/>
        <sz val="10.0"/>
      </rPr>
      <t>(checkbox)</t>
    </r>
  </si>
  <si>
    <t>業務に関わる機密性の高い資料等について、施錠可能な書庫・金庫等への保管</t>
  </si>
  <si>
    <r>
      <rPr>
        <rFont val="Noto Sans CJK SC"/>
        <color theme="1"/>
        <sz val="10.0"/>
      </rPr>
      <t>詳細</t>
    </r>
    <r>
      <rPr>
        <rFont val="游ゴシック"/>
        <color theme="1"/>
        <sz val="10.0"/>
      </rPr>
      <t>(checkbox)</t>
    </r>
  </si>
  <si>
    <r>
      <rPr>
        <rFont val="Noto Sans CJK SC"/>
        <color theme="1"/>
        <sz val="10.0"/>
      </rPr>
      <t>クリアデスク・クリアスクリーンについて、実施している対策をすべて選択してください</t>
    </r>
    <r>
      <rPr>
        <rFont val="游ゴシック"/>
        <color theme="1"/>
        <sz val="10.0"/>
      </rPr>
      <t>...</t>
    </r>
  </si>
  <si>
    <t>クリアスクリーンを実施している</t>
  </si>
  <si>
    <r>
      <rPr>
        <rFont val="Noto Sans CJK SC"/>
        <color theme="1"/>
        <sz val="10.0"/>
      </rPr>
      <t>詳細</t>
    </r>
    <r>
      <rPr>
        <rFont val="游ゴシック"/>
        <color theme="1"/>
        <sz val="10.0"/>
      </rPr>
      <t>(checkbox)</t>
    </r>
  </si>
  <si>
    <t>離席時の端末のスクリーンロックまたはログオフ</t>
  </si>
  <si>
    <r>
      <rPr>
        <rFont val="Noto Sans CJK SC"/>
        <color theme="1"/>
        <sz val="10.0"/>
      </rPr>
      <t>詳細</t>
    </r>
    <r>
      <rPr>
        <rFont val="游ゴシック"/>
        <color theme="1"/>
        <sz val="10.0"/>
      </rPr>
      <t>(checkbox)</t>
    </r>
  </si>
  <si>
    <t>端末の無操作時間が続いた場合の、端末の自動的なスクリーンロックまたはログオフ</t>
  </si>
  <si>
    <r>
      <rPr>
        <rFont val="Noto Sans CJK SC"/>
        <color theme="1"/>
        <sz val="10.0"/>
      </rPr>
      <t>詳細</t>
    </r>
    <r>
      <rPr>
        <rFont val="游ゴシック"/>
        <color theme="1"/>
        <sz val="10.0"/>
      </rPr>
      <t>(checkbox)</t>
    </r>
  </si>
  <si>
    <r>
      <rPr>
        <rFont val="Noto Sans CJK SC"/>
        <color theme="1"/>
        <sz val="10.0"/>
      </rPr>
      <t>クリアデスク・クリアスクリーンについて、実施している対策をすべて選択してください</t>
    </r>
    <r>
      <rPr>
        <rFont val="游ゴシック"/>
        <color theme="1"/>
        <sz val="10.0"/>
      </rPr>
      <t>...</t>
    </r>
  </si>
  <si>
    <r>
      <rPr>
        <rFont val="Noto Sans CJK SC"/>
        <color theme="1"/>
        <sz val="10.0"/>
      </rPr>
      <t>クリアデスク・クリアスクリーンについて、実施している対策をすべて選択してください</t>
    </r>
    <r>
      <rPr>
        <rFont val="游ゴシック"/>
        <color theme="1"/>
        <sz val="10.0"/>
      </rPr>
      <t>...</t>
    </r>
  </si>
  <si>
    <r>
      <rPr>
        <rFont val="Noto Sans CJK SC"/>
        <color theme="1"/>
        <sz val="10.0"/>
      </rPr>
      <t>情報資産を廃棄する方法について、該当する選択肢をすべて選択してください。</t>
    </r>
    <r>
      <rPr>
        <rFont val="游ゴシック"/>
        <color theme="1"/>
        <sz val="10.0"/>
      </rPr>
      <t>...</t>
    </r>
  </si>
  <si>
    <t>情報資産（端末、システム、外部サービス、顧客情報、機密情報等）の廃棄に関するルールを定めている</t>
  </si>
  <si>
    <r>
      <rPr>
        <rFont val="Noto Sans CJK SC"/>
        <color theme="1"/>
        <sz val="10.0"/>
      </rPr>
      <t>情報資産を廃棄する方法について、該当する選択肢をすべて選択してください。</t>
    </r>
    <r>
      <rPr>
        <rFont val="游ゴシック"/>
        <color theme="1"/>
        <sz val="10.0"/>
      </rPr>
      <t>...</t>
    </r>
  </si>
  <si>
    <t>情報資産の廃棄・契約終了に関するルールを定期的に見直している</t>
  </si>
  <si>
    <r>
      <rPr>
        <rFont val="Noto Sans CJK SC"/>
        <color theme="1"/>
        <sz val="10.0"/>
      </rPr>
      <t>情報資産を廃棄する方法について、該当する選択肢をすべて選択してください。</t>
    </r>
    <r>
      <rPr>
        <rFont val="游ゴシック"/>
        <color theme="1"/>
        <sz val="10.0"/>
      </rPr>
      <t>...</t>
    </r>
  </si>
  <si>
    <t>重要度の高い情報資産については安全な方法で廃棄している</t>
  </si>
  <si>
    <r>
      <rPr>
        <rFont val="Noto Sans CJK SC"/>
        <color theme="1"/>
        <sz val="10.0"/>
      </rPr>
      <t>詳細</t>
    </r>
    <r>
      <rPr>
        <rFont val="游ゴシック"/>
        <color theme="1"/>
        <sz val="10.0"/>
      </rPr>
      <t>(checkbox)</t>
    </r>
  </si>
  <si>
    <t>除去（暗号化消去や消磁）</t>
  </si>
  <si>
    <r>
      <rPr>
        <rFont val="Noto Sans CJK SC"/>
        <color theme="1"/>
        <sz val="10.0"/>
      </rPr>
      <t>詳細</t>
    </r>
    <r>
      <rPr>
        <rFont val="游ゴシック"/>
        <color theme="1"/>
        <sz val="10.0"/>
      </rPr>
      <t>(checkbox)</t>
    </r>
  </si>
  <si>
    <t>破壊（自社での物理的な破砕、溶解、シュレッディング）</t>
  </si>
  <si>
    <r>
      <rPr>
        <rFont val="Noto Sans CJK SC"/>
        <color theme="1"/>
        <sz val="10.0"/>
      </rPr>
      <t>詳細</t>
    </r>
    <r>
      <rPr>
        <rFont val="游ゴシック"/>
        <color theme="1"/>
        <sz val="10.0"/>
      </rPr>
      <t>(checkbox)</t>
    </r>
  </si>
  <si>
    <t>廃棄（廃棄業者の廃棄証明書（マニフェスト）があること）</t>
  </si>
  <si>
    <r>
      <rPr>
        <rFont val="Noto Sans CJK SC"/>
        <color theme="1"/>
        <sz val="10.0"/>
      </rPr>
      <t>詳細</t>
    </r>
    <r>
      <rPr>
        <rFont val="游ゴシック"/>
        <color theme="1"/>
        <sz val="10.0"/>
      </rPr>
      <t>(checkbox)</t>
    </r>
  </si>
  <si>
    <r>
      <rPr>
        <rFont val="Noto Sans CJK SC"/>
        <color theme="1"/>
        <sz val="10.0"/>
      </rPr>
      <t>情報資産を廃棄する方法について、該当する選択肢をすべて選択してください。</t>
    </r>
    <r>
      <rPr>
        <rFont val="游ゴシック"/>
        <color theme="1"/>
        <sz val="10.0"/>
      </rPr>
      <t>...</t>
    </r>
  </si>
  <si>
    <r>
      <rPr>
        <rFont val="Noto Sans CJK SC"/>
        <color theme="1"/>
        <sz val="10.0"/>
      </rPr>
      <t>情報資産を廃棄する方法について、該当する選択肢をすべて選択してください。</t>
    </r>
    <r>
      <rPr>
        <rFont val="游ゴシック"/>
        <color theme="1"/>
        <sz val="10.0"/>
      </rPr>
      <t>...</t>
    </r>
  </si>
  <si>
    <r>
      <rPr>
        <rFont val="Noto Sans CJK SC"/>
        <color theme="1"/>
        <sz val="10.0"/>
      </rPr>
      <t>端末におけるマルウェア対策について、実施している対策をすべて選択してください。</t>
    </r>
    <r>
      <rPr>
        <rFont val="游ゴシック"/>
        <color theme="1"/>
        <sz val="10.0"/>
      </rPr>
      <t>...</t>
    </r>
  </si>
  <si>
    <t>端末においてマルウェア対策を実施している</t>
  </si>
  <si>
    <r>
      <rPr>
        <rFont val="Noto Sans CJK SC"/>
        <color theme="1"/>
        <sz val="10.0"/>
      </rPr>
      <t>詳細</t>
    </r>
    <r>
      <rPr>
        <rFont val="游ゴシック"/>
        <color theme="1"/>
        <sz val="10.0"/>
      </rPr>
      <t>(checkbox)</t>
    </r>
  </si>
  <si>
    <t>既知のマルウェア対策として、アンチウィルスソフトを導入し、リアルタイムスキャン、定期的なウィルススキャンやパターンファイルの最新化を行なっている</t>
  </si>
  <si>
    <r>
      <rPr>
        <rFont val="Noto Sans CJK SC"/>
        <color theme="1"/>
        <sz val="10.0"/>
      </rPr>
      <t>詳細</t>
    </r>
    <r>
      <rPr>
        <rFont val="游ゴシック"/>
        <color theme="1"/>
        <sz val="10.0"/>
      </rPr>
      <t>(checkbox)</t>
    </r>
  </si>
  <si>
    <r>
      <rPr>
        <rFont val="Noto Sans CJK SC"/>
        <color theme="1"/>
        <sz val="10.0"/>
      </rPr>
      <t>未知のマルウェア対策として、</t>
    </r>
    <r>
      <rPr>
        <rFont val="游ゴシック"/>
        <color theme="1"/>
        <sz val="10.0"/>
      </rPr>
      <t>EDR</t>
    </r>
    <r>
      <rPr>
        <rFont val="Noto Sans CJK SC"/>
        <color theme="1"/>
        <sz val="10.0"/>
      </rPr>
      <t>製品や振る舞い検知を行う製品を導入している</t>
    </r>
  </si>
  <si>
    <r>
      <rPr>
        <rFont val="Noto Sans CJK SC"/>
        <color theme="1"/>
        <sz val="10.0"/>
      </rPr>
      <t>詳細</t>
    </r>
    <r>
      <rPr>
        <rFont val="游ゴシック"/>
        <color theme="1"/>
        <sz val="10.0"/>
      </rPr>
      <t>(checkbox)</t>
    </r>
  </si>
  <si>
    <r>
      <rPr>
        <rFont val="Noto Sans CJK SC"/>
        <color theme="1"/>
        <sz val="10.0"/>
      </rPr>
      <t>端末におけるマルウェア対策について、実施している対策をすべて選択してください。</t>
    </r>
    <r>
      <rPr>
        <rFont val="游ゴシック"/>
        <color theme="1"/>
        <sz val="10.0"/>
      </rPr>
      <t>...</t>
    </r>
  </si>
  <si>
    <t>メール経由でのマルウェア感染への対策を実施している</t>
  </si>
  <si>
    <r>
      <rPr>
        <rFont val="Noto Sans CJK SC"/>
        <color theme="1"/>
        <sz val="10.0"/>
      </rPr>
      <t>詳細</t>
    </r>
    <r>
      <rPr>
        <rFont val="游ゴシック"/>
        <color theme="1"/>
        <sz val="10.0"/>
      </rPr>
      <t>(checkbox)</t>
    </r>
  </si>
  <si>
    <t>メールフィルタリング機能（不正サイトへのリンクの検出、隔離、ブロック等）</t>
  </si>
  <si>
    <r>
      <rPr>
        <rFont val="Noto Sans CJK SC"/>
        <color theme="1"/>
        <sz val="10.0"/>
      </rPr>
      <t>詳細</t>
    </r>
    <r>
      <rPr>
        <rFont val="游ゴシック"/>
        <color theme="1"/>
        <sz val="10.0"/>
      </rPr>
      <t>(checkbox)</t>
    </r>
  </si>
  <si>
    <t>添付ファイルに対するスキャン機能</t>
  </si>
  <si>
    <r>
      <rPr>
        <rFont val="Noto Sans CJK SC"/>
        <color theme="1"/>
        <sz val="10.0"/>
      </rPr>
      <t>詳細</t>
    </r>
    <r>
      <rPr>
        <rFont val="游ゴシック"/>
        <color theme="1"/>
        <sz val="10.0"/>
      </rPr>
      <t>(checkbox)</t>
    </r>
  </si>
  <si>
    <r>
      <rPr>
        <rFont val="Noto Sans CJK SC"/>
        <color theme="1"/>
        <sz val="10.0"/>
      </rPr>
      <t>端末におけるマルウェア対策について、実施している対策をすべて選択してください。</t>
    </r>
    <r>
      <rPr>
        <rFont val="游ゴシック"/>
        <color theme="1"/>
        <sz val="10.0"/>
      </rPr>
      <t>...</t>
    </r>
  </si>
  <si>
    <r>
      <rPr>
        <rFont val="Noto Sans CJK SC"/>
        <color theme="1"/>
        <sz val="10.0"/>
      </rPr>
      <t>端末におけるマルウェア対策について、実施している対策をすべて選択してください。</t>
    </r>
    <r>
      <rPr>
        <rFont val="游ゴシック"/>
        <color theme="1"/>
        <sz val="10.0"/>
      </rPr>
      <t>...</t>
    </r>
  </si>
  <si>
    <r>
      <rPr>
        <rFont val="Noto Sans CJK SC"/>
        <color theme="1"/>
        <sz val="10.0"/>
      </rPr>
      <t>端末におけるソフトウェアの制御・モニタリングについて、実施している対策をすべて選</t>
    </r>
    <r>
      <rPr>
        <rFont val="游ゴシック"/>
        <color theme="1"/>
        <sz val="10.0"/>
      </rPr>
      <t>...</t>
    </r>
  </si>
  <si>
    <t>端末における導入ソフトウェアの技術的な制御を実施している</t>
  </si>
  <si>
    <r>
      <rPr>
        <rFont val="Noto Sans CJK SC"/>
        <color theme="1"/>
        <sz val="10.0"/>
      </rPr>
      <t>詳細</t>
    </r>
    <r>
      <rPr>
        <rFont val="游ゴシック"/>
        <color theme="1"/>
        <sz val="10.0"/>
      </rPr>
      <t>(checkbox)</t>
    </r>
  </si>
  <si>
    <t>ソフトウェアのインストール制御</t>
  </si>
  <si>
    <r>
      <rPr>
        <rFont val="Noto Sans CJK SC"/>
        <color theme="1"/>
        <sz val="10.0"/>
      </rPr>
      <t>詳細</t>
    </r>
    <r>
      <rPr>
        <rFont val="游ゴシック"/>
        <color theme="1"/>
        <sz val="10.0"/>
      </rPr>
      <t>(checkbox)</t>
    </r>
  </si>
  <si>
    <t>セキュリティ関連設定の変更制御</t>
  </si>
  <si>
    <r>
      <rPr>
        <rFont val="Noto Sans CJK SC"/>
        <color theme="1"/>
        <sz val="10.0"/>
      </rPr>
      <t>詳細</t>
    </r>
    <r>
      <rPr>
        <rFont val="游ゴシック"/>
        <color theme="1"/>
        <sz val="10.0"/>
      </rPr>
      <t>(checkbox)</t>
    </r>
  </si>
  <si>
    <r>
      <rPr>
        <rFont val="Noto Sans CJK SC"/>
        <color theme="1"/>
        <sz val="10.0"/>
      </rPr>
      <t>端末におけるソフトウェアの制御・モニタリングについて、実施している対策をすべて選</t>
    </r>
    <r>
      <rPr>
        <rFont val="游ゴシック"/>
        <color theme="1"/>
        <sz val="10.0"/>
      </rPr>
      <t>...</t>
    </r>
  </si>
  <si>
    <t>端末における導入ソフトウェアのモニタリングを実施している</t>
  </si>
  <si>
    <r>
      <rPr>
        <rFont val="Noto Sans CJK SC"/>
        <color theme="1"/>
        <sz val="10.0"/>
      </rPr>
      <t>端末におけるソフトウェアの制御・モニタリングについて、実施している対策をすべて選</t>
    </r>
    <r>
      <rPr>
        <rFont val="游ゴシック"/>
        <color theme="1"/>
        <sz val="10.0"/>
      </rPr>
      <t>...</t>
    </r>
  </si>
  <si>
    <r>
      <rPr>
        <rFont val="Noto Sans CJK SC"/>
        <color theme="1"/>
        <sz val="10.0"/>
      </rPr>
      <t>端末におけるソフトウェアの制御・モニタリングについて、実施している対策をすべて選</t>
    </r>
    <r>
      <rPr>
        <rFont val="游ゴシック"/>
        <color theme="1"/>
        <sz val="10.0"/>
      </rPr>
      <t>...</t>
    </r>
  </si>
  <si>
    <r>
      <rPr>
        <rFont val="Noto Sans CJK SC"/>
        <color theme="1"/>
        <sz val="10.0"/>
      </rPr>
      <t>端末におけるソフトウェアの制御・モニタリングについて、実施している対策をすべて選</t>
    </r>
    <r>
      <rPr>
        <rFont val="游ゴシック"/>
        <color theme="1"/>
        <sz val="10.0"/>
      </rPr>
      <t>...</t>
    </r>
  </si>
  <si>
    <r>
      <rPr>
        <rFont val="Noto Sans CJK SC"/>
        <color theme="1"/>
        <sz val="10.0"/>
      </rPr>
      <t>端末における脆弱性管理について、実施している対策をすべて選択してください。</t>
    </r>
    <r>
      <rPr>
        <rFont val="游ゴシック"/>
        <color theme="1"/>
        <sz val="10.0"/>
      </rPr>
      <t>...</t>
    </r>
  </si>
  <si>
    <t>端末の脆弱性管理およびセキュリティパッチ適用に関するルールを定めている</t>
  </si>
  <si>
    <r>
      <rPr>
        <rFont val="Noto Sans CJK SC"/>
        <color theme="1"/>
        <sz val="10.0"/>
      </rPr>
      <t>端末における脆弱性管理について、実施している対策をすべて選択してください。</t>
    </r>
    <r>
      <rPr>
        <rFont val="游ゴシック"/>
        <color theme="1"/>
        <sz val="10.0"/>
      </rPr>
      <t>...</t>
    </r>
  </si>
  <si>
    <t>端末におけるセキュリティパッチ適用の状況を把握している</t>
  </si>
  <si>
    <r>
      <rPr>
        <rFont val="Noto Sans CJK SC"/>
        <color theme="1"/>
        <sz val="10.0"/>
      </rPr>
      <t>端末における脆弱性管理について、実施している対策をすべて選択してください。</t>
    </r>
    <r>
      <rPr>
        <rFont val="游ゴシック"/>
        <color theme="1"/>
        <sz val="10.0"/>
      </rPr>
      <t>...</t>
    </r>
  </si>
  <si>
    <t>端末に対するセキュリティパッチは自動的に適用されている</t>
  </si>
  <si>
    <r>
      <rPr>
        <rFont val="Noto Sans CJK SC"/>
        <color theme="1"/>
        <sz val="10.0"/>
      </rPr>
      <t>端末における脆弱性管理について、実施している対策をすべて選択してください。</t>
    </r>
    <r>
      <rPr>
        <rFont val="游ゴシック"/>
        <color theme="1"/>
        <sz val="10.0"/>
      </rPr>
      <t>...</t>
    </r>
  </si>
  <si>
    <r>
      <rPr>
        <rFont val="Noto Sans CJK SC"/>
        <color theme="1"/>
        <sz val="10.0"/>
      </rPr>
      <t>端末における脆弱性管理について、実施している対策をすべて選択してください。</t>
    </r>
    <r>
      <rPr>
        <rFont val="游ゴシック"/>
        <color theme="1"/>
        <sz val="10.0"/>
      </rPr>
      <t>...</t>
    </r>
  </si>
  <si>
    <r>
      <rPr>
        <rFont val="Noto Sans CJK SC"/>
        <color theme="1"/>
        <sz val="10.0"/>
      </rPr>
      <t>端末における脆弱性管理について、実施している対策をすべて選択してください。</t>
    </r>
    <r>
      <rPr>
        <rFont val="游ゴシック"/>
        <color theme="1"/>
        <sz val="10.0"/>
      </rPr>
      <t>...</t>
    </r>
  </si>
  <si>
    <r>
      <rPr>
        <rFont val="Noto Sans CJK SC"/>
        <color theme="1"/>
        <sz val="10.0"/>
      </rPr>
      <t>端末における紛失・盗難時の対策について、該当する選択肢をすべて選択してください。</t>
    </r>
    <r>
      <rPr>
        <rFont val="游ゴシック"/>
        <color theme="1"/>
        <sz val="10.0"/>
      </rPr>
      <t>...</t>
    </r>
  </si>
  <si>
    <t>端末の紛失・盗難対策を実施している</t>
  </si>
  <si>
    <r>
      <rPr>
        <rFont val="Noto Sans CJK SC"/>
        <color theme="1"/>
        <sz val="10.0"/>
      </rPr>
      <t>詳細</t>
    </r>
    <r>
      <rPr>
        <rFont val="游ゴシック"/>
        <color theme="1"/>
        <sz val="10.0"/>
      </rPr>
      <t>(checkbox)</t>
    </r>
  </si>
  <si>
    <r>
      <rPr>
        <rFont val="Noto Sans CJK SC"/>
        <color theme="1"/>
        <sz val="10.0"/>
      </rPr>
      <t>端末の記憶装置（</t>
    </r>
    <r>
      <rPr>
        <rFont val="游ゴシック"/>
        <color theme="1"/>
        <sz val="10.0"/>
      </rPr>
      <t>HDD</t>
    </r>
    <r>
      <rPr>
        <rFont val="Noto Sans CJK SC"/>
        <color theme="1"/>
        <sz val="10.0"/>
      </rPr>
      <t>や</t>
    </r>
    <r>
      <rPr>
        <rFont val="游ゴシック"/>
        <color theme="1"/>
        <sz val="10.0"/>
      </rPr>
      <t>SSD</t>
    </r>
    <r>
      <rPr>
        <rFont val="Noto Sans CJK SC"/>
        <color theme="1"/>
        <sz val="10.0"/>
      </rPr>
      <t>等）の暗号化</t>
    </r>
  </si>
  <si>
    <r>
      <rPr>
        <rFont val="Noto Sans CJK SC"/>
        <color theme="1"/>
        <sz val="10.0"/>
      </rPr>
      <t>詳細</t>
    </r>
    <r>
      <rPr>
        <rFont val="游ゴシック"/>
        <color theme="1"/>
        <sz val="10.0"/>
      </rPr>
      <t>(checkbox)</t>
    </r>
  </si>
  <si>
    <t>リモートロック</t>
  </si>
  <si>
    <r>
      <rPr>
        <rFont val="Noto Sans CJK SC"/>
        <color theme="1"/>
        <sz val="10.0"/>
      </rPr>
      <t>詳細</t>
    </r>
    <r>
      <rPr>
        <rFont val="游ゴシック"/>
        <color theme="1"/>
        <sz val="10.0"/>
      </rPr>
      <t>(checkbox)</t>
    </r>
  </si>
  <si>
    <t>リモートワイプ</t>
  </si>
  <si>
    <r>
      <rPr>
        <rFont val="Noto Sans CJK SC"/>
        <color theme="1"/>
        <sz val="10.0"/>
      </rPr>
      <t>詳細</t>
    </r>
    <r>
      <rPr>
        <rFont val="游ゴシック"/>
        <color theme="1"/>
        <sz val="10.0"/>
      </rPr>
      <t>(checkbox)</t>
    </r>
  </si>
  <si>
    <r>
      <rPr>
        <rFont val="Noto Sans CJK SC"/>
        <color theme="1"/>
        <sz val="10.0"/>
      </rPr>
      <t>端末における紛失・盗難時の対策について、該当する選択肢をすべて選択してください。</t>
    </r>
    <r>
      <rPr>
        <rFont val="游ゴシック"/>
        <color theme="1"/>
        <sz val="10.0"/>
      </rPr>
      <t>...</t>
    </r>
  </si>
  <si>
    <r>
      <rPr>
        <rFont val="Noto Sans CJK SC"/>
        <color theme="1"/>
        <sz val="10.0"/>
      </rPr>
      <t>端末にデータが保存されない方式（シンクライアント</t>
    </r>
    <r>
      <rPr>
        <rFont val="游ゴシック"/>
        <color theme="1"/>
        <sz val="10.0"/>
      </rPr>
      <t>PC</t>
    </r>
    <r>
      <rPr>
        <rFont val="Noto Sans CJK SC"/>
        <color theme="1"/>
        <sz val="10.0"/>
      </rPr>
      <t>、データレス</t>
    </r>
    <r>
      <rPr>
        <rFont val="游ゴシック"/>
        <color theme="1"/>
        <sz val="10.0"/>
      </rPr>
      <t>PC</t>
    </r>
    <r>
      <rPr>
        <rFont val="Noto Sans CJK SC"/>
        <color theme="1"/>
        <sz val="10.0"/>
      </rPr>
      <t>等）としている</t>
    </r>
  </si>
  <si>
    <r>
      <rPr>
        <rFont val="Noto Sans CJK SC"/>
        <color theme="1"/>
        <sz val="10.0"/>
      </rPr>
      <t>端末における紛失・盗難時の対策について、該当する選択肢をすべて選択してください。</t>
    </r>
    <r>
      <rPr>
        <rFont val="游ゴシック"/>
        <color theme="1"/>
        <sz val="10.0"/>
      </rPr>
      <t>...</t>
    </r>
  </si>
  <si>
    <r>
      <rPr>
        <rFont val="Noto Sans CJK SC"/>
        <color theme="1"/>
        <sz val="10.0"/>
      </rPr>
      <t>端末における紛失・盗難時の対策について、該当する選択肢をすべて選択してください。</t>
    </r>
    <r>
      <rPr>
        <rFont val="游ゴシック"/>
        <color theme="1"/>
        <sz val="10.0"/>
      </rPr>
      <t>...</t>
    </r>
  </si>
  <si>
    <r>
      <rPr>
        <rFont val="Noto Sans CJK SC"/>
        <color theme="1"/>
        <sz val="10.0"/>
      </rPr>
      <t>社内</t>
    </r>
    <r>
      <rPr>
        <rFont val="游ゴシック"/>
        <color theme="1"/>
        <sz val="10.0"/>
      </rPr>
      <t>LAN</t>
    </r>
    <r>
      <rPr>
        <rFont val="Noto Sans CJK SC"/>
        <color theme="1"/>
        <sz val="10.0"/>
      </rPr>
      <t>（有線・無線）への接続制御について、実施している対策をすべて選択してく</t>
    </r>
    <r>
      <rPr>
        <rFont val="游ゴシック"/>
        <color theme="1"/>
        <sz val="10.0"/>
      </rPr>
      <t>...</t>
    </r>
  </si>
  <si>
    <r>
      <rPr>
        <rFont val="Noto Sans CJK SC"/>
        <color theme="1"/>
        <sz val="10.0"/>
      </rPr>
      <t>社内</t>
    </r>
    <r>
      <rPr>
        <rFont val="游ゴシック"/>
        <color theme="1"/>
        <sz val="10.0"/>
      </rPr>
      <t>LAN</t>
    </r>
    <r>
      <rPr>
        <rFont val="Noto Sans CJK SC"/>
        <color theme="1"/>
        <sz val="10.0"/>
      </rPr>
      <t>（有線・無線）へ接続可能な端末を技術的に制御している</t>
    </r>
  </si>
  <si>
    <r>
      <rPr>
        <rFont val="Noto Sans CJK SC"/>
        <color theme="1"/>
        <sz val="10.0"/>
      </rPr>
      <t>詳細</t>
    </r>
    <r>
      <rPr>
        <rFont val="游ゴシック"/>
        <color theme="1"/>
        <sz val="10.0"/>
      </rPr>
      <t>(checkbox)</t>
    </r>
  </si>
  <si>
    <r>
      <rPr>
        <rFont val="Noto Sans CJK SC"/>
        <color theme="1"/>
        <sz val="10.0"/>
      </rPr>
      <t>社内</t>
    </r>
    <r>
      <rPr>
        <rFont val="游ゴシック"/>
        <color theme="1"/>
        <sz val="10.0"/>
      </rPr>
      <t>LAN</t>
    </r>
    <r>
      <rPr>
        <rFont val="Noto Sans CJK SC"/>
        <color theme="1"/>
        <sz val="10.0"/>
      </rPr>
      <t>（有線・無線）へ接続可能な端末を技術的に制御している</t>
    </r>
  </si>
  <si>
    <r>
      <rPr>
        <rFont val="游ゴシック"/>
        <color theme="1"/>
        <sz val="10.0"/>
      </rPr>
      <t>MAC</t>
    </r>
    <r>
      <rPr>
        <rFont val="Noto Sans CJK SC"/>
        <color theme="1"/>
        <sz val="10.0"/>
      </rPr>
      <t>アドレスフィルタリング</t>
    </r>
  </si>
  <si>
    <r>
      <rPr>
        <rFont val="Noto Sans CJK SC"/>
        <color theme="1"/>
        <sz val="10.0"/>
      </rPr>
      <t>詳細</t>
    </r>
    <r>
      <rPr>
        <rFont val="游ゴシック"/>
        <color theme="1"/>
        <sz val="10.0"/>
      </rPr>
      <t>(checkbox)</t>
    </r>
  </si>
  <si>
    <r>
      <rPr>
        <rFont val="Noto Sans CJK SC"/>
        <color theme="1"/>
        <sz val="10.0"/>
      </rPr>
      <t>社内</t>
    </r>
    <r>
      <rPr>
        <rFont val="游ゴシック"/>
        <color theme="1"/>
        <sz val="10.0"/>
      </rPr>
      <t>LAN</t>
    </r>
    <r>
      <rPr>
        <rFont val="Noto Sans CJK SC"/>
        <color theme="1"/>
        <sz val="10.0"/>
      </rPr>
      <t>（有線・無線）へ接続可能な端末を技術的に制御している</t>
    </r>
  </si>
  <si>
    <t>パスワード認証</t>
  </si>
  <si>
    <r>
      <rPr>
        <rFont val="Noto Sans CJK SC"/>
        <color theme="1"/>
        <sz val="10.0"/>
      </rPr>
      <t>詳細</t>
    </r>
    <r>
      <rPr>
        <rFont val="游ゴシック"/>
        <color theme="1"/>
        <sz val="10.0"/>
      </rPr>
      <t>(checkbox)</t>
    </r>
  </si>
  <si>
    <r>
      <rPr>
        <rFont val="Noto Sans CJK SC"/>
        <color theme="1"/>
        <sz val="10.0"/>
      </rPr>
      <t>社内</t>
    </r>
    <r>
      <rPr>
        <rFont val="游ゴシック"/>
        <color theme="1"/>
        <sz val="10.0"/>
      </rPr>
      <t>LAN</t>
    </r>
    <r>
      <rPr>
        <rFont val="Noto Sans CJK SC"/>
        <color theme="1"/>
        <sz val="10.0"/>
      </rPr>
      <t>（有線・無線）へ接続可能な端末を技術的に制御している</t>
    </r>
  </si>
  <si>
    <t>証明書認証</t>
  </si>
  <si>
    <r>
      <rPr>
        <rFont val="Noto Sans CJK SC"/>
        <color theme="1"/>
        <sz val="10.0"/>
      </rPr>
      <t>詳細</t>
    </r>
    <r>
      <rPr>
        <rFont val="游ゴシック"/>
        <color theme="1"/>
        <sz val="10.0"/>
      </rPr>
      <t>(checkbox)</t>
    </r>
  </si>
  <si>
    <r>
      <rPr>
        <rFont val="Noto Sans CJK SC"/>
        <color theme="1"/>
        <sz val="10.0"/>
      </rPr>
      <t>社内</t>
    </r>
    <r>
      <rPr>
        <rFont val="游ゴシック"/>
        <color theme="1"/>
        <sz val="10.0"/>
      </rPr>
      <t>LAN</t>
    </r>
    <r>
      <rPr>
        <rFont val="Noto Sans CJK SC"/>
        <color theme="1"/>
        <sz val="10.0"/>
      </rPr>
      <t>（有線・無線）へ接続可能な端末を技術的に制御している</t>
    </r>
  </si>
  <si>
    <r>
      <rPr>
        <rFont val="Noto Sans CJK SC"/>
        <color theme="1"/>
        <sz val="10.0"/>
      </rPr>
      <t>社内</t>
    </r>
    <r>
      <rPr>
        <rFont val="游ゴシック"/>
        <color theme="1"/>
        <sz val="10.0"/>
      </rPr>
      <t>LAN</t>
    </r>
    <r>
      <rPr>
        <rFont val="Noto Sans CJK SC"/>
        <color theme="1"/>
        <sz val="10.0"/>
      </rPr>
      <t>（有線・無線）への接続制御について、実施している対策をすべて選択してく</t>
    </r>
    <r>
      <rPr>
        <rFont val="游ゴシック"/>
        <color theme="1"/>
        <sz val="10.0"/>
      </rPr>
      <t>...</t>
    </r>
  </si>
  <si>
    <r>
      <rPr>
        <rFont val="Noto Sans CJK SC"/>
        <color theme="1"/>
        <sz val="10.0"/>
      </rPr>
      <t>安全な暗号方式により無線</t>
    </r>
    <r>
      <rPr>
        <rFont val="游ゴシック"/>
        <color theme="1"/>
        <sz val="10.0"/>
      </rPr>
      <t>LAN</t>
    </r>
    <r>
      <rPr>
        <rFont val="Noto Sans CJK SC"/>
        <color theme="1"/>
        <sz val="10.0"/>
      </rPr>
      <t>を暗号化している</t>
    </r>
  </si>
  <si>
    <r>
      <rPr>
        <rFont val="Noto Sans CJK SC"/>
        <color theme="1"/>
        <sz val="10.0"/>
      </rPr>
      <t>社内</t>
    </r>
    <r>
      <rPr>
        <rFont val="游ゴシック"/>
        <color theme="1"/>
        <sz val="10.0"/>
      </rPr>
      <t>LAN</t>
    </r>
    <r>
      <rPr>
        <rFont val="Noto Sans CJK SC"/>
        <color theme="1"/>
        <sz val="10.0"/>
      </rPr>
      <t>（有線・無線）への接続制御について、実施している対策をすべて選択してく</t>
    </r>
    <r>
      <rPr>
        <rFont val="游ゴシック"/>
        <color theme="1"/>
        <sz val="10.0"/>
      </rPr>
      <t>...</t>
    </r>
  </si>
  <si>
    <r>
      <rPr>
        <rFont val="Noto Sans CJK SC"/>
        <color theme="1"/>
        <sz val="10.0"/>
      </rPr>
      <t>社内</t>
    </r>
    <r>
      <rPr>
        <rFont val="游ゴシック"/>
        <color theme="1"/>
        <sz val="10.0"/>
      </rPr>
      <t>LAN</t>
    </r>
    <r>
      <rPr>
        <rFont val="Noto Sans CJK SC"/>
        <color theme="1"/>
        <sz val="10.0"/>
      </rPr>
      <t>（有線・無線）への接続制御について、実施している対策をすべて選択してく</t>
    </r>
    <r>
      <rPr>
        <rFont val="游ゴシック"/>
        <color theme="1"/>
        <sz val="10.0"/>
      </rPr>
      <t>...</t>
    </r>
  </si>
  <si>
    <r>
      <rPr>
        <rFont val="Noto Sans CJK SC"/>
        <color theme="1"/>
        <sz val="10.0"/>
      </rPr>
      <t>社内</t>
    </r>
    <r>
      <rPr>
        <rFont val="游ゴシック"/>
        <color theme="1"/>
        <sz val="10.0"/>
      </rPr>
      <t>LAN</t>
    </r>
    <r>
      <rPr>
        <rFont val="Noto Sans CJK SC"/>
        <color theme="1"/>
        <sz val="10.0"/>
      </rPr>
      <t>（有線・無線）への接続制御について、実施している対策をすべて選択してく</t>
    </r>
    <r>
      <rPr>
        <rFont val="游ゴシック"/>
        <color theme="1"/>
        <sz val="10.0"/>
      </rPr>
      <t>...</t>
    </r>
  </si>
  <si>
    <r>
      <rPr>
        <rFont val="Noto Sans CJK SC"/>
        <color theme="1"/>
        <sz val="10.0"/>
      </rPr>
      <t>私用端末（</t>
    </r>
    <r>
      <rPr>
        <rFont val="游ゴシック"/>
        <color theme="1"/>
        <sz val="10.0"/>
      </rPr>
      <t>PC</t>
    </r>
    <r>
      <rPr>
        <rFont val="Noto Sans CJK SC"/>
        <color theme="1"/>
        <sz val="10.0"/>
      </rPr>
      <t>、スマートフォン等）を業務利用していますか。</t>
    </r>
    <r>
      <rPr>
        <rFont val="游ゴシック"/>
        <color theme="1"/>
        <sz val="10.0"/>
      </rPr>
      <t>...</t>
    </r>
  </si>
  <si>
    <r>
      <rPr>
        <rFont val="Noto Sans CJK SC"/>
        <color theme="1"/>
        <sz val="10.0"/>
      </rPr>
      <t>私用端末（</t>
    </r>
    <r>
      <rPr>
        <rFont val="游ゴシック"/>
        <color theme="1"/>
        <sz val="10.0"/>
      </rPr>
      <t>PC</t>
    </r>
    <r>
      <rPr>
        <rFont val="Noto Sans CJK SC"/>
        <color theme="1"/>
        <sz val="10.0"/>
      </rPr>
      <t>、スマートフォン等）を業務利用していますか。</t>
    </r>
    <r>
      <rPr>
        <rFont val="游ゴシック"/>
        <color theme="1"/>
        <sz val="10.0"/>
      </rPr>
      <t>...</t>
    </r>
  </si>
  <si>
    <r>
      <rPr>
        <rFont val="Noto Sans CJK SC"/>
        <color theme="1"/>
        <sz val="10.0"/>
      </rPr>
      <t>私用端末（</t>
    </r>
    <r>
      <rPr>
        <rFont val="游ゴシック"/>
        <color theme="1"/>
        <sz val="10.0"/>
      </rPr>
      <t>PC</t>
    </r>
    <r>
      <rPr>
        <rFont val="Noto Sans CJK SC"/>
        <color theme="1"/>
        <sz val="10.0"/>
      </rPr>
      <t>、スマートフォン等）を業務利用していますか。</t>
    </r>
    <r>
      <rPr>
        <rFont val="游ゴシック"/>
        <color theme="1"/>
        <sz val="10.0"/>
      </rPr>
      <t>...</t>
    </r>
  </si>
  <si>
    <r>
      <rPr>
        <rFont val="Noto Sans CJK SC"/>
        <color theme="1"/>
        <sz val="10.0"/>
      </rPr>
      <t>私用端末（</t>
    </r>
    <r>
      <rPr>
        <rFont val="游ゴシック"/>
        <color theme="1"/>
        <sz val="10.0"/>
      </rPr>
      <t>PC</t>
    </r>
    <r>
      <rPr>
        <rFont val="Noto Sans CJK SC"/>
        <color theme="1"/>
        <sz val="10.0"/>
      </rPr>
      <t>、スマートフォン等）のセキュリティ対策について、実施している対策を</t>
    </r>
    <r>
      <rPr>
        <rFont val="游ゴシック"/>
        <color theme="1"/>
        <sz val="10.0"/>
      </rPr>
      <t>...</t>
    </r>
  </si>
  <si>
    <t>私用端末上に企業領域を設定し、企業領域外への業務情報の持ち出しを制御している</t>
  </si>
  <si>
    <r>
      <rPr>
        <rFont val="Noto Sans CJK SC"/>
        <color theme="1"/>
        <sz val="10.0"/>
      </rPr>
      <t>私用端末（</t>
    </r>
    <r>
      <rPr>
        <rFont val="游ゴシック"/>
        <color theme="1"/>
        <sz val="10.0"/>
      </rPr>
      <t>PC</t>
    </r>
    <r>
      <rPr>
        <rFont val="Noto Sans CJK SC"/>
        <color theme="1"/>
        <sz val="10.0"/>
      </rPr>
      <t>、スマートフォン等）のセキュリティ対策について、実施している対策を</t>
    </r>
    <r>
      <rPr>
        <rFont val="游ゴシック"/>
        <color theme="1"/>
        <sz val="10.0"/>
      </rPr>
      <t>...</t>
    </r>
  </si>
  <si>
    <t>私用端末上に業務情報を保存していない</t>
  </si>
  <si>
    <r>
      <rPr>
        <rFont val="Noto Sans CJK SC"/>
        <color theme="1"/>
        <sz val="10.0"/>
      </rPr>
      <t>私用端末（</t>
    </r>
    <r>
      <rPr>
        <rFont val="游ゴシック"/>
        <color theme="1"/>
        <sz val="10.0"/>
      </rPr>
      <t>PC</t>
    </r>
    <r>
      <rPr>
        <rFont val="Noto Sans CJK SC"/>
        <color theme="1"/>
        <sz val="10.0"/>
      </rPr>
      <t>、スマートフォン等）のセキュリティ対策について、実施している対策を</t>
    </r>
    <r>
      <rPr>
        <rFont val="游ゴシック"/>
        <color theme="1"/>
        <sz val="10.0"/>
      </rPr>
      <t>...</t>
    </r>
  </si>
  <si>
    <r>
      <rPr>
        <rFont val="Noto Sans CJK SC"/>
        <color theme="1"/>
        <sz val="10.0"/>
      </rPr>
      <t>私用端末（</t>
    </r>
    <r>
      <rPr>
        <rFont val="游ゴシック"/>
        <color theme="1"/>
        <sz val="10.0"/>
      </rPr>
      <t>PC</t>
    </r>
    <r>
      <rPr>
        <rFont val="Noto Sans CJK SC"/>
        <color theme="1"/>
        <sz val="10.0"/>
      </rPr>
      <t>、スマートフォン等）のセキュリティ対策について、実施している対策を</t>
    </r>
    <r>
      <rPr>
        <rFont val="游ゴシック"/>
        <color theme="1"/>
        <sz val="10.0"/>
      </rPr>
      <t>...</t>
    </r>
  </si>
  <si>
    <r>
      <rPr>
        <rFont val="Noto Sans CJK SC"/>
        <color theme="1"/>
        <sz val="10.0"/>
      </rPr>
      <t>私用端末（</t>
    </r>
    <r>
      <rPr>
        <rFont val="游ゴシック"/>
        <color theme="1"/>
        <sz val="10.0"/>
      </rPr>
      <t>PC</t>
    </r>
    <r>
      <rPr>
        <rFont val="Noto Sans CJK SC"/>
        <color theme="1"/>
        <sz val="10.0"/>
      </rPr>
      <t>、スマートフォン等）のセキュリティ対策について、実施している対策を</t>
    </r>
    <r>
      <rPr>
        <rFont val="游ゴシック"/>
        <color theme="1"/>
        <sz val="10.0"/>
      </rPr>
      <t>...</t>
    </r>
  </si>
  <si>
    <r>
      <rPr>
        <rFont val="Noto Sans CJK SC"/>
        <color theme="1"/>
        <sz val="10.0"/>
      </rPr>
      <t>端末経由の情報漏えい対策について、実施している対策をすべて選択してください。</t>
    </r>
    <r>
      <rPr>
        <rFont val="游ゴシック"/>
        <color theme="1"/>
        <sz val="10.0"/>
      </rPr>
      <t>...</t>
    </r>
  </si>
  <si>
    <t>インターネット経由での情報漏えい対策を実施している</t>
  </si>
  <si>
    <r>
      <rPr>
        <rFont val="Noto Sans CJK SC"/>
        <color theme="1"/>
        <sz val="10.0"/>
      </rPr>
      <t>詳細</t>
    </r>
    <r>
      <rPr>
        <rFont val="游ゴシック"/>
        <color theme="1"/>
        <sz val="10.0"/>
      </rPr>
      <t>(checkbox)</t>
    </r>
  </si>
  <si>
    <r>
      <rPr>
        <rFont val="Noto Sans CJK SC"/>
        <color theme="1"/>
        <sz val="10.0"/>
      </rPr>
      <t>悪意のある</t>
    </r>
    <r>
      <rPr>
        <rFont val="游ゴシック"/>
        <color theme="1"/>
        <sz val="10.0"/>
      </rPr>
      <t>Web</t>
    </r>
    <r>
      <rPr>
        <rFont val="Noto Sans CJK SC"/>
        <color theme="1"/>
        <sz val="10.0"/>
      </rPr>
      <t>サイトへの接続制御</t>
    </r>
  </si>
  <si>
    <r>
      <rPr>
        <rFont val="Noto Sans CJK SC"/>
        <color theme="1"/>
        <sz val="10.0"/>
      </rPr>
      <t>詳細</t>
    </r>
    <r>
      <rPr>
        <rFont val="游ゴシック"/>
        <color theme="1"/>
        <sz val="10.0"/>
      </rPr>
      <t>(checkbox)</t>
    </r>
  </si>
  <si>
    <t>ファイルアップロードの制御</t>
  </si>
  <si>
    <r>
      <rPr>
        <rFont val="Noto Sans CJK SC"/>
        <color theme="1"/>
        <sz val="10.0"/>
      </rPr>
      <t>詳細</t>
    </r>
    <r>
      <rPr>
        <rFont val="游ゴシック"/>
        <color theme="1"/>
        <sz val="10.0"/>
      </rPr>
      <t>(checkbox)</t>
    </r>
  </si>
  <si>
    <r>
      <rPr>
        <rFont val="Noto Sans CJK SC"/>
        <color theme="1"/>
        <sz val="10.0"/>
      </rPr>
      <t>端末経由の情報漏えい対策について、実施している対策をすべて選択してください。</t>
    </r>
    <r>
      <rPr>
        <rFont val="游ゴシック"/>
        <color theme="1"/>
        <sz val="10.0"/>
      </rPr>
      <t>...</t>
    </r>
  </si>
  <si>
    <t>メール経由での情報漏えい対策を実施している</t>
  </si>
  <si>
    <r>
      <rPr>
        <rFont val="Noto Sans CJK SC"/>
        <color theme="1"/>
        <sz val="10.0"/>
      </rPr>
      <t>詳細</t>
    </r>
    <r>
      <rPr>
        <rFont val="游ゴシック"/>
        <color theme="1"/>
        <sz val="10.0"/>
      </rPr>
      <t>(checkbox)</t>
    </r>
  </si>
  <si>
    <t>外部への添付ファイル付きメールの上長承認</t>
  </si>
  <si>
    <r>
      <rPr>
        <rFont val="Noto Sans CJK SC"/>
        <color theme="1"/>
        <sz val="10.0"/>
      </rPr>
      <t>詳細</t>
    </r>
    <r>
      <rPr>
        <rFont val="游ゴシック"/>
        <color theme="1"/>
        <sz val="10.0"/>
      </rPr>
      <t>(checkbox)</t>
    </r>
  </si>
  <si>
    <t>外部への添付ファイル付きメールのモニタリング</t>
  </si>
  <si>
    <r>
      <rPr>
        <rFont val="Noto Sans CJK SC"/>
        <color theme="1"/>
        <sz val="10.0"/>
      </rPr>
      <t>詳細</t>
    </r>
    <r>
      <rPr>
        <rFont val="游ゴシック"/>
        <color theme="1"/>
        <sz val="10.0"/>
      </rPr>
      <t>(checkbox)</t>
    </r>
  </si>
  <si>
    <r>
      <rPr>
        <rFont val="Noto Sans CJK SC"/>
        <color theme="1"/>
        <sz val="10.0"/>
      </rPr>
      <t>端末経由の情報漏えい対策について、実施している対策をすべて選択してください。</t>
    </r>
    <r>
      <rPr>
        <rFont val="游ゴシック"/>
        <color theme="1"/>
        <sz val="10.0"/>
      </rPr>
      <t>...</t>
    </r>
  </si>
  <si>
    <t>プリンター経由での情報漏えい対策を実施している</t>
  </si>
  <si>
    <r>
      <rPr>
        <rFont val="Noto Sans CJK SC"/>
        <color theme="1"/>
        <sz val="10.0"/>
      </rPr>
      <t>詳細</t>
    </r>
    <r>
      <rPr>
        <rFont val="游ゴシック"/>
        <color theme="1"/>
        <sz val="10.0"/>
      </rPr>
      <t>(checkbox)</t>
    </r>
  </si>
  <si>
    <t>許可されたプリンターのみに印刷を制限</t>
  </si>
  <si>
    <r>
      <rPr>
        <rFont val="Noto Sans CJK SC"/>
        <color theme="1"/>
        <sz val="10.0"/>
      </rPr>
      <t>詳細</t>
    </r>
    <r>
      <rPr>
        <rFont val="游ゴシック"/>
        <color theme="1"/>
        <sz val="10.0"/>
      </rPr>
      <t>(checkbox)</t>
    </r>
  </si>
  <si>
    <t>プリンター側でのユーザー認証</t>
  </si>
  <si>
    <r>
      <rPr>
        <rFont val="Noto Sans CJK SC"/>
        <color theme="1"/>
        <sz val="10.0"/>
      </rPr>
      <t>詳細</t>
    </r>
    <r>
      <rPr>
        <rFont val="游ゴシック"/>
        <color theme="1"/>
        <sz val="10.0"/>
      </rPr>
      <t>(checkbox)</t>
    </r>
  </si>
  <si>
    <r>
      <rPr>
        <rFont val="Noto Sans CJK SC"/>
        <color theme="1"/>
        <sz val="10.0"/>
      </rPr>
      <t>端末経由の情報漏えい対策について、実施している対策をすべて選択してください。</t>
    </r>
    <r>
      <rPr>
        <rFont val="游ゴシック"/>
        <color theme="1"/>
        <sz val="10.0"/>
      </rPr>
      <t>...</t>
    </r>
  </si>
  <si>
    <r>
      <rPr>
        <rFont val="Noto Sans CJK SC"/>
        <color theme="1"/>
        <sz val="10.0"/>
      </rPr>
      <t>端末経由の情報漏えい対策について、実施している対策をすべて選択してください。</t>
    </r>
    <r>
      <rPr>
        <rFont val="游ゴシック"/>
        <color theme="1"/>
        <sz val="10.0"/>
      </rPr>
      <t>...</t>
    </r>
  </si>
  <si>
    <r>
      <rPr>
        <rFont val="Noto Sans CJK SC"/>
        <color theme="1"/>
        <sz val="10.0"/>
      </rPr>
      <t>リモートワークを実施していますか。</t>
    </r>
    <r>
      <rPr>
        <rFont val="游ゴシック"/>
        <color theme="1"/>
        <sz val="10.0"/>
      </rPr>
      <t>...</t>
    </r>
  </si>
  <si>
    <r>
      <rPr>
        <rFont val="Noto Sans CJK SC"/>
        <color theme="1"/>
        <sz val="10.0"/>
      </rPr>
      <t>リモートワークを実施していますか。</t>
    </r>
    <r>
      <rPr>
        <rFont val="游ゴシック"/>
        <color theme="1"/>
        <sz val="10.0"/>
      </rPr>
      <t>...</t>
    </r>
  </si>
  <si>
    <r>
      <rPr>
        <rFont val="Noto Sans CJK SC"/>
        <color theme="1"/>
        <sz val="10.0"/>
      </rPr>
      <t>リモートワークを実施していますか。</t>
    </r>
    <r>
      <rPr>
        <rFont val="游ゴシック"/>
        <color theme="1"/>
        <sz val="10.0"/>
      </rPr>
      <t>...</t>
    </r>
  </si>
  <si>
    <r>
      <rPr>
        <rFont val="Noto Sans CJK SC"/>
        <color theme="1"/>
        <sz val="10.0"/>
      </rPr>
      <t>リモートワークに関するセキュリティルールや対策について、該当する選択肢をすべて選</t>
    </r>
    <r>
      <rPr>
        <rFont val="游ゴシック"/>
        <color theme="1"/>
        <sz val="10.0"/>
      </rPr>
      <t>...</t>
    </r>
  </si>
  <si>
    <t>リモートワークに関するセキュリティルールを定めている</t>
  </si>
  <si>
    <r>
      <rPr>
        <rFont val="Noto Sans CJK SC"/>
        <color theme="1"/>
        <sz val="10.0"/>
      </rPr>
      <t>リモートワークに関するセキュリティルールや対策について、該当する選択肢をすべて選</t>
    </r>
    <r>
      <rPr>
        <rFont val="游ゴシック"/>
        <color theme="1"/>
        <sz val="10.0"/>
      </rPr>
      <t>...</t>
    </r>
  </si>
  <si>
    <t>リモートワークに関するセキュリティルールを定期的に見直している</t>
  </si>
  <si>
    <r>
      <rPr>
        <rFont val="Noto Sans CJK SC"/>
        <color theme="1"/>
        <sz val="10.0"/>
      </rPr>
      <t>リモートワークに関するセキュリティルールや対策について、該当する選択肢をすべて選</t>
    </r>
    <r>
      <rPr>
        <rFont val="游ゴシック"/>
        <color theme="1"/>
        <sz val="10.0"/>
      </rPr>
      <t>...</t>
    </r>
  </si>
  <si>
    <t>不特定多数の人がいる公共の場所でのリモートワークを禁止している</t>
  </si>
  <si>
    <r>
      <rPr>
        <rFont val="Noto Sans CJK SC"/>
        <color theme="1"/>
        <sz val="10.0"/>
      </rPr>
      <t>リモートワークに関するセキュリティルールや対策について、該当する選択肢をすべて選</t>
    </r>
    <r>
      <rPr>
        <rFont val="游ゴシック"/>
        <color theme="1"/>
        <sz val="10.0"/>
      </rPr>
      <t>...</t>
    </r>
  </si>
  <si>
    <t>他者（家族、友人等）からののぞき見等を防止する施策を実施している</t>
  </si>
  <si>
    <r>
      <rPr>
        <rFont val="Noto Sans CJK SC"/>
        <color theme="1"/>
        <sz val="10.0"/>
      </rPr>
      <t>リモートワークに関するセキュリティルールや対策について、該当する選択肢をすべて選</t>
    </r>
    <r>
      <rPr>
        <rFont val="游ゴシック"/>
        <color theme="1"/>
        <sz val="10.0"/>
      </rPr>
      <t>...</t>
    </r>
  </si>
  <si>
    <r>
      <rPr>
        <rFont val="Noto Sans CJK SC"/>
        <color theme="1"/>
        <sz val="10.0"/>
      </rPr>
      <t>リモートワークに関するセキュリティルールや対策について、該当する選択肢をすべて選</t>
    </r>
    <r>
      <rPr>
        <rFont val="游ゴシック"/>
        <color theme="1"/>
        <sz val="10.0"/>
      </rPr>
      <t>...</t>
    </r>
  </si>
  <si>
    <r>
      <rPr>
        <rFont val="Noto Sans CJK SC"/>
        <color theme="1"/>
        <sz val="10.0"/>
      </rPr>
      <t>情報資産に対するアクセス制御の方針やルールについて、該当する選択肢をすべて選択し</t>
    </r>
    <r>
      <rPr>
        <rFont val="游ゴシック"/>
        <color theme="1"/>
        <sz val="10.0"/>
      </rPr>
      <t>...</t>
    </r>
  </si>
  <si>
    <t>情報資産に対するアクセス制御の方針やルールが定められている</t>
  </si>
  <si>
    <r>
      <rPr>
        <rFont val="Noto Sans CJK SC"/>
        <color theme="1"/>
        <sz val="10.0"/>
      </rPr>
      <t>詳細</t>
    </r>
    <r>
      <rPr>
        <rFont val="游ゴシック"/>
        <color theme="1"/>
        <sz val="10.0"/>
      </rPr>
      <t>(checkbox)</t>
    </r>
  </si>
  <si>
    <t>情報資産へのアクセス権限を必要最小限のユーザーのみに限定している</t>
  </si>
  <si>
    <r>
      <rPr>
        <rFont val="Noto Sans CJK SC"/>
        <color theme="1"/>
        <sz val="10.0"/>
      </rPr>
      <t>詳細</t>
    </r>
    <r>
      <rPr>
        <rFont val="游ゴシック"/>
        <color theme="1"/>
        <sz val="10.0"/>
      </rPr>
      <t>(checkbox)</t>
    </r>
  </si>
  <si>
    <t>取引元や業務毎にインフラ環境（アカウント、サーバ、データベース等）を分離している</t>
  </si>
  <si>
    <r>
      <rPr>
        <rFont val="Noto Sans CJK SC"/>
        <color theme="1"/>
        <sz val="10.0"/>
      </rPr>
      <t>詳細</t>
    </r>
    <r>
      <rPr>
        <rFont val="游ゴシック"/>
        <color theme="1"/>
        <sz val="10.0"/>
      </rPr>
      <t>(checkbox)</t>
    </r>
  </si>
  <si>
    <r>
      <rPr>
        <rFont val="Noto Sans CJK SC"/>
        <color theme="1"/>
        <sz val="10.0"/>
      </rPr>
      <t>情報資産に対するアクセス制御の方針やルールについて、該当する選択肢をすべて選択し</t>
    </r>
    <r>
      <rPr>
        <rFont val="游ゴシック"/>
        <color theme="1"/>
        <sz val="10.0"/>
      </rPr>
      <t>...</t>
    </r>
  </si>
  <si>
    <t>情報資産に対するアクセス制御の方針やルールを定期的に見直している</t>
  </si>
  <si>
    <r>
      <rPr>
        <rFont val="Noto Sans CJK SC"/>
        <color theme="1"/>
        <sz val="10.0"/>
      </rPr>
      <t>情報資産に対するアクセス制御の方針やルールについて、該当する選択肢をすべて選択し</t>
    </r>
    <r>
      <rPr>
        <rFont val="游ゴシック"/>
        <color theme="1"/>
        <sz val="10.0"/>
      </rPr>
      <t>...</t>
    </r>
  </si>
  <si>
    <r>
      <rPr>
        <rFont val="Noto Sans CJK SC"/>
        <color theme="1"/>
        <sz val="10.0"/>
      </rPr>
      <t>情報資産に対するアクセス制御の方針やルールについて、該当する選択肢をすべて選択し</t>
    </r>
    <r>
      <rPr>
        <rFont val="游ゴシック"/>
        <color theme="1"/>
        <sz val="10.0"/>
      </rPr>
      <t>...</t>
    </r>
  </si>
  <si>
    <r>
      <rPr>
        <rFont val="Noto Sans CJK SC"/>
        <color theme="1"/>
        <sz val="10.0"/>
      </rPr>
      <t>業務で利用するアプリケーションのユーザーアカウントについて業務上の必要性を確認し</t>
    </r>
    <r>
      <rPr>
        <rFont val="游ゴシック"/>
        <color theme="1"/>
        <sz val="10.0"/>
      </rPr>
      <t>...</t>
    </r>
  </si>
  <si>
    <t>ユーザーアカウントを発行・付与する場合は、業務上の必要性を確認している</t>
  </si>
  <si>
    <r>
      <rPr>
        <rFont val="Noto Sans CJK SC"/>
        <color theme="1"/>
        <sz val="10.0"/>
      </rPr>
      <t>業務で利用するアプリケーションのユーザーアカウントについて業務上の必要性を確認し</t>
    </r>
    <r>
      <rPr>
        <rFont val="游ゴシック"/>
        <color theme="1"/>
        <sz val="10.0"/>
      </rPr>
      <t>...</t>
    </r>
  </si>
  <si>
    <t>アプリケーションの利用者が退職・異動となった場合、速やかにユーザーアカウントのアクセス権限の更新や削除を実施している</t>
  </si>
  <si>
    <r>
      <rPr>
        <rFont val="Noto Sans CJK SC"/>
        <color theme="1"/>
        <sz val="10.0"/>
      </rPr>
      <t>業務で利用するアプリケーションのユーザーアカウントについて業務上の必要性を確認し</t>
    </r>
    <r>
      <rPr>
        <rFont val="游ゴシック"/>
        <color theme="1"/>
        <sz val="10.0"/>
      </rPr>
      <t>...</t>
    </r>
  </si>
  <si>
    <t>定期的にユーザーアカウントの棚卸を実施している</t>
  </si>
  <si>
    <r>
      <rPr>
        <rFont val="Noto Sans CJK SC"/>
        <color theme="1"/>
        <sz val="10.0"/>
      </rPr>
      <t>業務で利用するアプリケーションのユーザーアカウントについて業務上の必要性を確認し</t>
    </r>
    <r>
      <rPr>
        <rFont val="游ゴシック"/>
        <color theme="1"/>
        <sz val="10.0"/>
      </rPr>
      <t>...</t>
    </r>
  </si>
  <si>
    <r>
      <rPr>
        <rFont val="Noto Sans CJK SC"/>
        <color theme="1"/>
        <sz val="10.0"/>
      </rPr>
      <t>業務で利用するアプリケーションのユーザーアカウントについて業務上の必要性を確認し</t>
    </r>
    <r>
      <rPr>
        <rFont val="游ゴシック"/>
        <color theme="1"/>
        <sz val="10.0"/>
      </rPr>
      <t>...</t>
    </r>
  </si>
  <si>
    <r>
      <rPr>
        <rFont val="Noto Sans CJK SC"/>
        <color theme="1"/>
        <sz val="10.0"/>
      </rPr>
      <t>業務で利用するアプリケーションのアカウントについて共用されているものがありますか</t>
    </r>
    <r>
      <rPr>
        <rFont val="游ゴシック"/>
        <color theme="1"/>
        <sz val="10.0"/>
      </rPr>
      <t>...</t>
    </r>
  </si>
  <si>
    <t>共用アカウントが存在する</t>
  </si>
  <si>
    <r>
      <rPr>
        <rFont val="Noto Sans CJK SC"/>
        <color theme="1"/>
        <sz val="10.0"/>
      </rPr>
      <t>業務で利用するアプリケーションのアカウントについて共用されているものがありますか</t>
    </r>
    <r>
      <rPr>
        <rFont val="游ゴシック"/>
        <color theme="1"/>
        <sz val="10.0"/>
      </rPr>
      <t>...</t>
    </r>
  </si>
  <si>
    <t>個別ユーザー毎にアカウントが設定されている</t>
  </si>
  <si>
    <r>
      <rPr>
        <rFont val="Noto Sans CJK SC"/>
        <color theme="1"/>
        <sz val="10.0"/>
      </rPr>
      <t>業務で利用するアプリケーションのアカウントについて共用されているものがありますか</t>
    </r>
    <r>
      <rPr>
        <rFont val="游ゴシック"/>
        <color theme="1"/>
        <sz val="10.0"/>
      </rPr>
      <t>...</t>
    </r>
  </si>
  <si>
    <r>
      <rPr>
        <rFont val="Noto Sans CJK SC"/>
        <color theme="1"/>
        <sz val="10.0"/>
      </rPr>
      <t>業務で利用するアプリケーションの共有アカウントについて実施している対策をすべて選</t>
    </r>
    <r>
      <rPr>
        <rFont val="游ゴシック"/>
        <color theme="1"/>
        <sz val="10.0"/>
      </rPr>
      <t>...</t>
    </r>
  </si>
  <si>
    <t>共用するアカウントと利用可能なユーザーを特定している</t>
  </si>
  <si>
    <r>
      <rPr>
        <rFont val="Noto Sans CJK SC"/>
        <color theme="1"/>
        <sz val="10.0"/>
      </rPr>
      <t>業務で利用するアプリケーションの共有アカウントについて実施している対策をすべて選</t>
    </r>
    <r>
      <rPr>
        <rFont val="游ゴシック"/>
        <color theme="1"/>
        <sz val="10.0"/>
      </rPr>
      <t>...</t>
    </r>
  </si>
  <si>
    <t>事前に承認を得た場合のみ利用可能としている</t>
  </si>
  <si>
    <r>
      <rPr>
        <rFont val="Noto Sans CJK SC"/>
        <color theme="1"/>
        <sz val="10.0"/>
      </rPr>
      <t>業務で利用するアプリケーションの共有アカウントについて実施している対策をすべて選</t>
    </r>
    <r>
      <rPr>
        <rFont val="游ゴシック"/>
        <color theme="1"/>
        <sz val="10.0"/>
      </rPr>
      <t>...</t>
    </r>
  </si>
  <si>
    <t>利用毎に認証情報を変更している</t>
  </si>
  <si>
    <r>
      <rPr>
        <rFont val="Noto Sans CJK SC"/>
        <color theme="1"/>
        <sz val="10.0"/>
      </rPr>
      <t>業務で利用するアプリケーションの共有アカウントについて実施している対策をすべて選</t>
    </r>
    <r>
      <rPr>
        <rFont val="游ゴシック"/>
        <color theme="1"/>
        <sz val="10.0"/>
      </rPr>
      <t>...</t>
    </r>
  </si>
  <si>
    <t>管理簿や利用ログ等で適切な利用か確認している</t>
  </si>
  <si>
    <r>
      <rPr>
        <rFont val="Noto Sans CJK SC"/>
        <color theme="1"/>
        <sz val="10.0"/>
      </rPr>
      <t>業務で利用するアプリケーションの共有アカウントについて実施している対策をすべて選</t>
    </r>
    <r>
      <rPr>
        <rFont val="游ゴシック"/>
        <color theme="1"/>
        <sz val="10.0"/>
      </rPr>
      <t>...</t>
    </r>
  </si>
  <si>
    <r>
      <rPr>
        <rFont val="Noto Sans CJK SC"/>
        <color theme="1"/>
        <sz val="10.0"/>
      </rPr>
      <t>業務で利用するアプリケーションの共有アカウントについて実施している対策をすべて選</t>
    </r>
    <r>
      <rPr>
        <rFont val="游ゴシック"/>
        <color theme="1"/>
        <sz val="10.0"/>
      </rPr>
      <t>...</t>
    </r>
  </si>
  <si>
    <r>
      <rPr>
        <rFont val="Noto Sans CJK SC"/>
        <color theme="1"/>
        <sz val="10.0"/>
      </rPr>
      <t>業務で利用するアプリケーションの共有アカウントについて実施している対策をすべて選</t>
    </r>
    <r>
      <rPr>
        <rFont val="游ゴシック"/>
        <color theme="1"/>
        <sz val="10.0"/>
      </rPr>
      <t>...</t>
    </r>
  </si>
  <si>
    <r>
      <rPr>
        <rFont val="Noto Sans CJK SC"/>
        <color theme="1"/>
        <sz val="10.0"/>
      </rPr>
      <t>業務で利用するアプリケーションのユーザーアカウントのアクセス制御について、</t>
    </r>
    <r>
      <rPr>
        <rFont val="游ゴシック"/>
        <color theme="1"/>
        <sz val="10.0"/>
      </rPr>
      <t>SSO...</t>
    </r>
  </si>
  <si>
    <t>パスワードのみによるユーザー認証</t>
  </si>
  <si>
    <r>
      <rPr>
        <rFont val="Noto Sans CJK SC"/>
        <color theme="1"/>
        <sz val="10.0"/>
      </rPr>
      <t>詳細</t>
    </r>
    <r>
      <rPr>
        <rFont val="游ゴシック"/>
        <color theme="1"/>
        <sz val="10.0"/>
      </rPr>
      <t>(checkbox)</t>
    </r>
  </si>
  <si>
    <t>パスワードの最小文字数を設定している</t>
  </si>
  <si>
    <r>
      <rPr>
        <rFont val="Noto Sans CJK SC"/>
        <color theme="1"/>
        <sz val="10.0"/>
      </rPr>
      <t>詳細</t>
    </r>
    <r>
      <rPr>
        <rFont val="游ゴシック"/>
        <color theme="1"/>
        <sz val="10.0"/>
      </rPr>
      <t>(checkbox)</t>
    </r>
  </si>
  <si>
    <t>パスワードに英数字だけでなく記号も使用可能である</t>
  </si>
  <si>
    <r>
      <rPr>
        <rFont val="Noto Sans CJK SC"/>
        <color theme="1"/>
        <sz val="10.0"/>
      </rPr>
      <t>詳細</t>
    </r>
    <r>
      <rPr>
        <rFont val="游ゴシック"/>
        <color theme="1"/>
        <sz val="10.0"/>
      </rPr>
      <t>(checkbox)</t>
    </r>
  </si>
  <si>
    <t>脆弱なパスワードを制御する機能がある</t>
  </si>
  <si>
    <r>
      <rPr>
        <rFont val="Noto Sans CJK SC"/>
        <color theme="1"/>
        <sz val="10.0"/>
      </rPr>
      <t>詳細</t>
    </r>
    <r>
      <rPr>
        <rFont val="游ゴシック"/>
        <color theme="1"/>
        <sz val="10.0"/>
      </rPr>
      <t>(checkbox)</t>
    </r>
  </si>
  <si>
    <t>パスワードは利用者自身が登録する</t>
  </si>
  <si>
    <r>
      <rPr>
        <rFont val="Noto Sans CJK SC"/>
        <color theme="1"/>
        <sz val="10.0"/>
      </rPr>
      <t>詳細</t>
    </r>
    <r>
      <rPr>
        <rFont val="游ゴシック"/>
        <color theme="1"/>
        <sz val="10.0"/>
      </rPr>
      <t>(checkbox)</t>
    </r>
  </si>
  <si>
    <t>パスワードはソルト付きハッシュで保管される</t>
  </si>
  <si>
    <r>
      <rPr>
        <rFont val="Noto Sans CJK SC"/>
        <color theme="1"/>
        <sz val="10.0"/>
      </rPr>
      <t>業務で利用するアプリケーションのユーザーアカウントのアクセス制御について、</t>
    </r>
    <r>
      <rPr>
        <rFont val="游ゴシック"/>
        <color theme="1"/>
        <sz val="10.0"/>
      </rPr>
      <t>SSO...</t>
    </r>
  </si>
  <si>
    <t>パスワード以外の単一要素による認証（パスワードレス認証）</t>
  </si>
  <si>
    <r>
      <rPr>
        <rFont val="Noto Sans CJK SC"/>
        <color theme="1"/>
        <sz val="10.0"/>
      </rPr>
      <t>詳細</t>
    </r>
    <r>
      <rPr>
        <rFont val="游ゴシック"/>
        <color theme="1"/>
        <sz val="10.0"/>
      </rPr>
      <t>(checkbox)</t>
    </r>
  </si>
  <si>
    <t>ユーザー個別の証明書</t>
  </si>
  <si>
    <r>
      <rPr>
        <rFont val="Noto Sans CJK SC"/>
        <color theme="1"/>
        <sz val="10.0"/>
      </rPr>
      <t>詳細</t>
    </r>
    <r>
      <rPr>
        <rFont val="游ゴシック"/>
        <color theme="1"/>
        <sz val="10.0"/>
      </rPr>
      <t>(checkbox)</t>
    </r>
  </si>
  <si>
    <t>ワンタイムパスワード認証</t>
  </si>
  <si>
    <r>
      <rPr>
        <rFont val="Noto Sans CJK SC"/>
        <color theme="1"/>
        <sz val="10.0"/>
      </rPr>
      <t>業務で利用するアプリケーションのユーザーアカウントのアクセス制御について、</t>
    </r>
    <r>
      <rPr>
        <rFont val="游ゴシック"/>
        <color theme="1"/>
        <sz val="10.0"/>
      </rPr>
      <t>SSO...</t>
    </r>
  </si>
  <si>
    <t>多要素による認証</t>
  </si>
  <si>
    <r>
      <rPr>
        <rFont val="Noto Sans CJK SC"/>
        <color theme="1"/>
        <sz val="10.0"/>
      </rPr>
      <t>詳細</t>
    </r>
    <r>
      <rPr>
        <rFont val="游ゴシック"/>
        <color theme="1"/>
        <sz val="10.0"/>
      </rPr>
      <t>(checkbox)</t>
    </r>
  </si>
  <si>
    <t>パスワード＋ワンタイムパスワード</t>
  </si>
  <si>
    <r>
      <rPr>
        <rFont val="Noto Sans CJK SC"/>
        <color theme="1"/>
        <sz val="10.0"/>
      </rPr>
      <t>詳細</t>
    </r>
    <r>
      <rPr>
        <rFont val="游ゴシック"/>
        <color theme="1"/>
        <sz val="10.0"/>
      </rPr>
      <t>(checkbox)</t>
    </r>
  </si>
  <si>
    <t>パスワード＋ユーザー個別の証明書</t>
  </si>
  <si>
    <r>
      <rPr>
        <rFont val="Noto Sans CJK SC"/>
        <color theme="1"/>
        <sz val="10.0"/>
      </rPr>
      <t>詳細</t>
    </r>
    <r>
      <rPr>
        <rFont val="游ゴシック"/>
        <color theme="1"/>
        <sz val="10.0"/>
      </rPr>
      <t>(checkbox)</t>
    </r>
  </si>
  <si>
    <t>パスワード＋セキュリティキー</t>
  </si>
  <si>
    <r>
      <rPr>
        <rFont val="Noto Sans CJK SC"/>
        <color theme="1"/>
        <sz val="10.0"/>
      </rPr>
      <t>詳細</t>
    </r>
    <r>
      <rPr>
        <rFont val="游ゴシック"/>
        <color theme="1"/>
        <sz val="10.0"/>
      </rPr>
      <t>(checkbox)</t>
    </r>
  </si>
  <si>
    <t>パスキー認証（多要素パスワードレス認証）</t>
  </si>
  <si>
    <r>
      <rPr>
        <rFont val="Noto Sans CJK SC"/>
        <color theme="1"/>
        <sz val="10.0"/>
      </rPr>
      <t>詳細</t>
    </r>
    <r>
      <rPr>
        <rFont val="游ゴシック"/>
        <color theme="1"/>
        <sz val="10.0"/>
      </rPr>
      <t>(checkbox)</t>
    </r>
  </si>
  <si>
    <t>その他の多要素認証</t>
  </si>
  <si>
    <r>
      <rPr>
        <rFont val="Noto Sans CJK SC"/>
        <color theme="1"/>
        <sz val="10.0"/>
      </rPr>
      <t>業務で利用するアプリケーションのユーザーアカウントのアクセス制御について、</t>
    </r>
    <r>
      <rPr>
        <rFont val="游ゴシック"/>
        <color theme="1"/>
        <sz val="10.0"/>
      </rPr>
      <t>SSO...</t>
    </r>
  </si>
  <si>
    <t>その他のユーザー認証方式</t>
  </si>
  <si>
    <r>
      <rPr>
        <rFont val="Noto Sans CJK SC"/>
        <color theme="1"/>
        <sz val="10.0"/>
      </rPr>
      <t>業務で利用するアプリケーションのユーザーアカウントのアクセス制御について、</t>
    </r>
    <r>
      <rPr>
        <rFont val="游ゴシック"/>
        <color theme="1"/>
        <sz val="10.0"/>
      </rPr>
      <t>SSO...</t>
    </r>
  </si>
  <si>
    <t>リスクベース認証</t>
  </si>
  <si>
    <r>
      <rPr>
        <rFont val="Noto Sans CJK SC"/>
        <color theme="1"/>
        <sz val="10.0"/>
      </rPr>
      <t>業務で利用するアプリケーションのユーザーアカウントのアクセス制御について、</t>
    </r>
    <r>
      <rPr>
        <rFont val="游ゴシック"/>
        <color theme="1"/>
        <sz val="10.0"/>
      </rPr>
      <t>SSO...</t>
    </r>
  </si>
  <si>
    <r>
      <rPr>
        <rFont val="游ゴシック"/>
        <color theme="1"/>
        <sz val="10.0"/>
      </rPr>
      <t>IP</t>
    </r>
    <r>
      <rPr>
        <rFont val="Noto Sans CJK SC"/>
        <color theme="1"/>
        <sz val="10.0"/>
      </rPr>
      <t>アドレスによるアクセス制限</t>
    </r>
  </si>
  <si>
    <r>
      <rPr>
        <rFont val="Noto Sans CJK SC"/>
        <color theme="1"/>
        <sz val="10.0"/>
      </rPr>
      <t>業務で利用するアプリケーションのユーザーアカウントのアクセス制御について、</t>
    </r>
    <r>
      <rPr>
        <rFont val="游ゴシック"/>
        <color theme="1"/>
        <sz val="10.0"/>
      </rPr>
      <t>SSO...</t>
    </r>
  </si>
  <si>
    <t>複数回認証に失敗した場合のアカウントロックや認証機能の一時停止</t>
  </si>
  <si>
    <r>
      <rPr>
        <rFont val="Noto Sans CJK SC"/>
        <color theme="1"/>
        <sz val="10.0"/>
      </rPr>
      <t>業務で利用するアプリケーションのユーザーアカウントのアクセス制御について、</t>
    </r>
    <r>
      <rPr>
        <rFont val="游ゴシック"/>
        <color theme="1"/>
        <sz val="10.0"/>
      </rPr>
      <t>SSO...</t>
    </r>
  </si>
  <si>
    <t>認証情報の再発行時は本人しか知りえない情報で本人確認している</t>
  </si>
  <si>
    <r>
      <rPr>
        <rFont val="Noto Sans CJK SC"/>
        <color theme="1"/>
        <sz val="10.0"/>
      </rPr>
      <t>業務で利用するアプリケーションのユーザーアカウントのアクセス制御について、</t>
    </r>
    <r>
      <rPr>
        <rFont val="游ゴシック"/>
        <color theme="1"/>
        <sz val="10.0"/>
      </rPr>
      <t>SSO...</t>
    </r>
  </si>
  <si>
    <t>管理者権限アカウントについて一般アカウントと異なる認証ポリシーを設定できる</t>
  </si>
  <si>
    <r>
      <rPr>
        <rFont val="Noto Sans CJK SC"/>
        <color theme="1"/>
        <sz val="10.0"/>
      </rPr>
      <t>業務で利用するアプリケーションのユーザーアカウントのアクセス制御について、</t>
    </r>
    <r>
      <rPr>
        <rFont val="游ゴシック"/>
        <color theme="1"/>
        <sz val="10.0"/>
      </rPr>
      <t>SSO...</t>
    </r>
  </si>
  <si>
    <r>
      <rPr>
        <rFont val="Noto Sans CJK SC"/>
        <color theme="1"/>
        <sz val="10.0"/>
      </rPr>
      <t>業務で利用するアプリケーションのユーザーアカウントのアクセス制御について、</t>
    </r>
    <r>
      <rPr>
        <rFont val="游ゴシック"/>
        <color theme="1"/>
        <sz val="10.0"/>
      </rPr>
      <t>SSO...</t>
    </r>
  </si>
  <si>
    <r>
      <rPr>
        <rFont val="Noto Sans CJK SC"/>
        <color theme="1"/>
        <sz val="10.0"/>
      </rPr>
      <t>システムの保守、運用において利用するアカウントについて、</t>
    </r>
    <r>
      <rPr>
        <rFont val="游ゴシック"/>
        <color theme="1"/>
        <sz val="10.0"/>
      </rPr>
      <t>SSO</t>
    </r>
    <r>
      <rPr>
        <rFont val="Noto Sans CJK SC"/>
        <color theme="1"/>
        <sz val="10.0"/>
      </rPr>
      <t>ログイン認証を含め</t>
    </r>
    <r>
      <rPr>
        <rFont val="游ゴシック"/>
        <color theme="1"/>
        <sz val="10.0"/>
      </rPr>
      <t>...</t>
    </r>
  </si>
  <si>
    <t>緊急用アカウントなどの例外を除き、適用可能なすべてのユーザーアカウントに対して多要素認証が適用されている</t>
  </si>
  <si>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</si>
  <si>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</si>
  <si>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</si>
  <si>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</si>
  <si>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</si>
  <si>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システムの保守、運用において利用するアカウントについて、</t>
    </r>
    <r>
      <rPr>
        <rFont val="游ゴシック"/>
        <color theme="1"/>
        <sz val="10.0"/>
      </rPr>
      <t>SSO</t>
    </r>
    <r>
      <rPr>
        <rFont val="Noto Sans CJK SC"/>
        <color theme="1"/>
        <sz val="10.0"/>
      </rPr>
      <t>ログイン認証を含め</t>
    </r>
    <r>
      <rPr>
        <rFont val="游ゴシック"/>
        <color theme="1"/>
        <sz val="10.0"/>
      </rPr>
      <t>...</t>
    </r>
  </si>
  <si>
    <t>ユーザーアカウントの一部に多要素認証が適用されている</t>
  </si>
  <si>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</si>
  <si>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</si>
  <si>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</si>
  <si>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</si>
  <si>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</si>
  <si>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システムの保守、運用において利用するアカウントについて、</t>
    </r>
    <r>
      <rPr>
        <rFont val="游ゴシック"/>
        <color theme="1"/>
        <sz val="10.0"/>
      </rPr>
      <t>SSO</t>
    </r>
    <r>
      <rPr>
        <rFont val="Noto Sans CJK SC"/>
        <color theme="1"/>
        <sz val="10.0"/>
      </rPr>
      <t>ログイン認証を含め</t>
    </r>
    <r>
      <rPr>
        <rFont val="游ゴシック"/>
        <color theme="1"/>
        <sz val="10.0"/>
      </rPr>
      <t>...</t>
    </r>
  </si>
  <si>
    <t>すべてのユーザーアカウントが単一認証で認証されている</t>
  </si>
  <si>
    <r>
      <rPr>
        <rFont val="Noto Sans CJK SC"/>
        <color theme="1"/>
        <sz val="10.0"/>
      </rPr>
      <t>詳細</t>
    </r>
    <r>
      <rPr>
        <rFont val="游ゴシック"/>
        <color theme="1"/>
        <sz val="10.0"/>
      </rPr>
      <t>(checkbox)</t>
    </r>
  </si>
  <si>
    <t>パスワード</t>
  </si>
  <si>
    <r>
      <rPr>
        <rFont val="Noto Sans CJK SC"/>
        <color theme="1"/>
        <sz val="10.0"/>
      </rPr>
      <t>詳細</t>
    </r>
    <r>
      <rPr>
        <rFont val="游ゴシック"/>
        <color theme="1"/>
        <sz val="10.0"/>
      </rPr>
      <t>(checkbox)</t>
    </r>
  </si>
  <si>
    <t>その他の単一認証</t>
  </si>
  <si>
    <r>
      <rPr>
        <rFont val="Noto Sans CJK SC"/>
        <color theme="1"/>
        <sz val="10.0"/>
      </rPr>
      <t>システムの保守、運用において利用するアカウントについて、</t>
    </r>
    <r>
      <rPr>
        <rFont val="游ゴシック"/>
        <color theme="1"/>
        <sz val="10.0"/>
      </rPr>
      <t>SSO</t>
    </r>
    <r>
      <rPr>
        <rFont val="Noto Sans CJK SC"/>
        <color theme="1"/>
        <sz val="10.0"/>
      </rPr>
      <t>ログイン認証を含め</t>
    </r>
    <r>
      <rPr>
        <rFont val="游ゴシック"/>
        <color theme="1"/>
        <sz val="10.0"/>
      </rPr>
      <t>...</t>
    </r>
  </si>
  <si>
    <r>
      <rPr>
        <rFont val="Noto Sans CJK SC"/>
        <color theme="1"/>
        <sz val="10.0"/>
      </rPr>
      <t>システムの保守、運用において利用するアカウントについて、</t>
    </r>
    <r>
      <rPr>
        <rFont val="游ゴシック"/>
        <color theme="1"/>
        <sz val="10.0"/>
      </rPr>
      <t>SSO</t>
    </r>
    <r>
      <rPr>
        <rFont val="Noto Sans CJK SC"/>
        <color theme="1"/>
        <sz val="10.0"/>
      </rPr>
      <t>ログイン認証を含め</t>
    </r>
    <r>
      <rPr>
        <rFont val="游ゴシック"/>
        <color theme="1"/>
        <sz val="10.0"/>
      </rPr>
      <t>...</t>
    </r>
  </si>
  <si>
    <r>
      <rPr>
        <rFont val="Noto Sans CJK SC"/>
        <color theme="1"/>
        <sz val="10.0"/>
      </rPr>
      <t>システムの保守、運用において利用するアカウントについて、アクセス制御に関して実施</t>
    </r>
    <r>
      <rPr>
        <rFont val="游ゴシック"/>
        <color theme="1"/>
        <sz val="10.0"/>
      </rPr>
      <t>...</t>
    </r>
  </si>
  <si>
    <r>
      <rPr>
        <rFont val="游ゴシック"/>
        <color theme="1"/>
        <sz val="10.0"/>
      </rPr>
      <t>IP</t>
    </r>
    <r>
      <rPr>
        <rFont val="Noto Sans CJK SC"/>
        <color theme="1"/>
        <sz val="10.0"/>
      </rPr>
      <t>アドレスによるアクセス制限</t>
    </r>
  </si>
  <si>
    <r>
      <rPr>
        <rFont val="Noto Sans CJK SC"/>
        <color theme="1"/>
        <sz val="10.0"/>
      </rPr>
      <t>システムの保守、運用において利用するアカウントについて、アクセス制御に関して実施</t>
    </r>
    <r>
      <rPr>
        <rFont val="游ゴシック"/>
        <color theme="1"/>
        <sz val="10.0"/>
      </rPr>
      <t>...</t>
    </r>
  </si>
  <si>
    <t>共通の証明書によるアクセス端末制限</t>
  </si>
  <si>
    <r>
      <rPr>
        <rFont val="Noto Sans CJK SC"/>
        <color theme="1"/>
        <sz val="10.0"/>
      </rPr>
      <t>システムの保守、運用において利用するアカウントについて、アクセス制御に関して実施</t>
    </r>
    <r>
      <rPr>
        <rFont val="游ゴシック"/>
        <color theme="1"/>
        <sz val="10.0"/>
      </rPr>
      <t>...</t>
    </r>
  </si>
  <si>
    <t>セッションタイムアウト</t>
  </si>
  <si>
    <r>
      <rPr>
        <rFont val="Noto Sans CJK SC"/>
        <color theme="1"/>
        <sz val="10.0"/>
      </rPr>
      <t>システムの保守、運用において利用するアカウントについて、アクセス制御に関して実施</t>
    </r>
    <r>
      <rPr>
        <rFont val="游ゴシック"/>
        <color theme="1"/>
        <sz val="10.0"/>
      </rPr>
      <t>...</t>
    </r>
  </si>
  <si>
    <t>物理的に隔てられたアクセス専用エリアの設置</t>
  </si>
  <si>
    <r>
      <rPr>
        <rFont val="Noto Sans CJK SC"/>
        <color theme="1"/>
        <sz val="10.0"/>
      </rPr>
      <t>システムの保守、運用において利用するアカウントについて、アクセス制御に関して実施</t>
    </r>
    <r>
      <rPr>
        <rFont val="游ゴシック"/>
        <color theme="1"/>
        <sz val="10.0"/>
      </rPr>
      <t>...</t>
    </r>
  </si>
  <si>
    <r>
      <rPr>
        <rFont val="Noto Sans CJK SC"/>
        <color theme="1"/>
        <sz val="10.0"/>
      </rPr>
      <t>システムの保守、運用において利用するアカウントについて、アクセス制御に関して実施</t>
    </r>
    <r>
      <rPr>
        <rFont val="游ゴシック"/>
        <color theme="1"/>
        <sz val="10.0"/>
      </rPr>
      <t>...</t>
    </r>
  </si>
  <si>
    <r>
      <rPr>
        <rFont val="Noto Sans CJK SC"/>
        <color theme="1"/>
        <sz val="10.0"/>
      </rPr>
      <t>システムの保守、運用において利用するアカウントについて、アクセス制御に関して実施</t>
    </r>
    <r>
      <rPr>
        <rFont val="游ゴシック"/>
        <color theme="1"/>
        <sz val="10.0"/>
      </rPr>
      <t>...</t>
    </r>
  </si>
  <si>
    <r>
      <rPr>
        <rFont val="Noto Sans CJK SC"/>
        <color theme="1"/>
        <sz val="10.0"/>
      </rPr>
      <t>システムの保守、運用において利用するアカウントの内、特権アカウントについて、実施</t>
    </r>
    <r>
      <rPr>
        <rFont val="游ゴシック"/>
        <color theme="1"/>
        <sz val="10.0"/>
      </rPr>
      <t>...</t>
    </r>
  </si>
  <si>
    <t>特権アカウント取り扱いに関する運用ルールが文書化されている</t>
  </si>
  <si>
    <r>
      <rPr>
        <rFont val="Noto Sans CJK SC"/>
        <color theme="1"/>
        <sz val="10.0"/>
      </rPr>
      <t>システムの保守、運用において利用するアカウントの内、特権アカウントについて、実施</t>
    </r>
    <r>
      <rPr>
        <rFont val="游ゴシック"/>
        <color theme="1"/>
        <sz val="10.0"/>
      </rPr>
      <t>...</t>
    </r>
  </si>
  <si>
    <t>特権アカウント取り扱いに関する運用ルールを定期的に見直している</t>
  </si>
  <si>
    <r>
      <rPr>
        <rFont val="Noto Sans CJK SC"/>
        <color theme="1"/>
        <sz val="10.0"/>
      </rPr>
      <t>システムの保守、運用において利用するアカウントの内、特権アカウントについて、実施</t>
    </r>
    <r>
      <rPr>
        <rFont val="游ゴシック"/>
        <color theme="1"/>
        <sz val="10.0"/>
      </rPr>
      <t>...</t>
    </r>
  </si>
  <si>
    <t>特権アカウントが利用可能なユーザーを必要最小限に制限している</t>
  </si>
  <si>
    <r>
      <rPr>
        <rFont val="Noto Sans CJK SC"/>
        <color theme="1"/>
        <sz val="10.0"/>
      </rPr>
      <t>システムの保守、運用において利用するアカウントの内、特権アカウントについて、実施</t>
    </r>
    <r>
      <rPr>
        <rFont val="游ゴシック"/>
        <color theme="1"/>
        <sz val="10.0"/>
      </rPr>
      <t>...</t>
    </r>
  </si>
  <si>
    <t>特権アカウントの利用においては承認を必須とし、特権アカウントの利用機会を必要最小限に制限している</t>
  </si>
  <si>
    <r>
      <rPr>
        <rFont val="Noto Sans CJK SC"/>
        <color theme="1"/>
        <sz val="10.0"/>
      </rPr>
      <t>システムの保守、運用において利用するアカウントの内、特権アカウントについて、実施</t>
    </r>
    <r>
      <rPr>
        <rFont val="游ゴシック"/>
        <color theme="1"/>
        <sz val="10.0"/>
      </rPr>
      <t>...</t>
    </r>
  </si>
  <si>
    <t>特権アカウントの利用状況をモニタリングしている</t>
  </si>
  <si>
    <r>
      <rPr>
        <rFont val="Noto Sans CJK SC"/>
        <color theme="1"/>
        <sz val="10.0"/>
      </rPr>
      <t>システムの保守、運用において利用するアカウントの内、特権アカウントについて、実施</t>
    </r>
    <r>
      <rPr>
        <rFont val="游ゴシック"/>
        <color theme="1"/>
        <sz val="10.0"/>
      </rPr>
      <t>...</t>
    </r>
  </si>
  <si>
    <r>
      <rPr>
        <rFont val="Noto Sans CJK SC"/>
        <color theme="1"/>
        <sz val="10.0"/>
      </rPr>
      <t>システムの保守、運用において利用するアカウントの内、特権アカウントについて、実施</t>
    </r>
    <r>
      <rPr>
        <rFont val="游ゴシック"/>
        <color theme="1"/>
        <sz val="10.0"/>
      </rPr>
      <t>...</t>
    </r>
  </si>
  <si>
    <r>
      <rPr>
        <rFont val="Noto Sans CJK SC"/>
        <color theme="1"/>
        <sz val="10.0"/>
      </rPr>
      <t>システムの保守、運用において利用するアカウントの内、特権アカウントについて、実施</t>
    </r>
    <r>
      <rPr>
        <rFont val="游ゴシック"/>
        <color theme="1"/>
        <sz val="10.0"/>
      </rPr>
      <t>...</t>
    </r>
  </si>
  <si>
    <r>
      <rPr>
        <rFont val="Noto Sans CJK SC"/>
        <color theme="1"/>
        <sz val="10.0"/>
      </rPr>
      <t>システムのコンポーネントにおいて、管理者権限を保持する特権的ユーティリティおよび</t>
    </r>
    <r>
      <rPr>
        <rFont val="游ゴシック"/>
        <color theme="1"/>
        <sz val="10.0"/>
      </rPr>
      <t>...</t>
    </r>
  </si>
  <si>
    <r>
      <rPr>
        <rFont val="Noto Sans CJK SC"/>
        <color theme="1"/>
        <sz val="10.0"/>
      </rPr>
      <t>用途以上に必要な権限を付与していない（</t>
    </r>
    <r>
      <rPr>
        <rFont val="游ゴシック"/>
        <color theme="1"/>
        <sz val="10.0"/>
      </rPr>
      <t>Web</t>
    </r>
    <r>
      <rPr>
        <rFont val="Noto Sans CJK SC"/>
        <color theme="1"/>
        <sz val="10.0"/>
      </rPr>
      <t>サーバやアプリケーションサーバのプロセスを管理者権限以外で起動している等）</t>
    </r>
  </si>
  <si>
    <r>
      <rPr>
        <rFont val="Noto Sans CJK SC"/>
        <color theme="1"/>
        <sz val="10.0"/>
      </rPr>
      <t>システムのコンポーネントにおいて、管理者権限を保持する特権的ユーティリティおよび</t>
    </r>
    <r>
      <rPr>
        <rFont val="游ゴシック"/>
        <color theme="1"/>
        <sz val="10.0"/>
      </rPr>
      <t>...</t>
    </r>
  </si>
  <si>
    <t>サービスやデーモン、プロトコルは必要なもののみ設定および起動をしており、不要なものは起動できないようにしている</t>
  </si>
  <si>
    <r>
      <rPr>
        <rFont val="Noto Sans CJK SC"/>
        <color theme="1"/>
        <sz val="10.0"/>
      </rPr>
      <t>システムのコンポーネントにおいて、管理者権限を保持する特権的ユーティリティおよび</t>
    </r>
    <r>
      <rPr>
        <rFont val="游ゴシック"/>
        <color theme="1"/>
        <sz val="10.0"/>
      </rPr>
      <t>...</t>
    </r>
  </si>
  <si>
    <t>ログインが必要なサービスアカウントについて十分な認証を行い、ログインが不要なサービスアカウントについては技術的にログイン不可としている</t>
  </si>
  <si>
    <r>
      <rPr>
        <rFont val="Noto Sans CJK SC"/>
        <color theme="1"/>
        <sz val="10.0"/>
      </rPr>
      <t>システムのコンポーネントにおいて、管理者権限を保持する特権的ユーティリティおよび</t>
    </r>
    <r>
      <rPr>
        <rFont val="游ゴシック"/>
        <color theme="1"/>
        <sz val="10.0"/>
      </rPr>
      <t>...</t>
    </r>
  </si>
  <si>
    <r>
      <rPr>
        <rFont val="Noto Sans CJK SC"/>
        <color theme="1"/>
        <sz val="10.0"/>
      </rPr>
      <t>システムのコンポーネントにおいて、管理者権限を保持する特権的ユーティリティおよび</t>
    </r>
    <r>
      <rPr>
        <rFont val="游ゴシック"/>
        <color theme="1"/>
        <sz val="10.0"/>
      </rPr>
      <t>...</t>
    </r>
  </si>
  <si>
    <r>
      <rPr>
        <rFont val="Noto Sans CJK SC"/>
        <color theme="1"/>
        <sz val="10.0"/>
      </rPr>
      <t>取引元が管理するシステムを利用する際のアカウント運用形態について、該当するものを</t>
    </r>
    <r>
      <rPr>
        <rFont val="游ゴシック"/>
        <color theme="1"/>
        <sz val="10.0"/>
      </rPr>
      <t>...</t>
    </r>
  </si>
  <si>
    <t>取引元がアカウントの発行・削除やアクセス権限の付与・剥奪をすべて管理している</t>
  </si>
  <si>
    <r>
      <rPr>
        <rFont val="Noto Sans CJK SC"/>
        <color theme="1"/>
        <sz val="10.0"/>
      </rPr>
      <t>取引元が管理するシステムを利用する際のアカウント運用形態について、該当するものを</t>
    </r>
    <r>
      <rPr>
        <rFont val="游ゴシック"/>
        <color theme="1"/>
        <sz val="10.0"/>
      </rPr>
      <t>...</t>
    </r>
  </si>
  <si>
    <t>取引元から管理者権限を委譲され、回答事業者がアカウントおよびアクセス権限の管理を行っている</t>
  </si>
  <si>
    <r>
      <rPr>
        <rFont val="Noto Sans CJK SC"/>
        <color theme="1"/>
        <sz val="10.0"/>
      </rPr>
      <t>取引元が管理するシステムを利用する際のアカウント運用形態について、該当するものを</t>
    </r>
    <r>
      <rPr>
        <rFont val="游ゴシック"/>
        <color theme="1"/>
        <sz val="10.0"/>
      </rPr>
      <t>...</t>
    </r>
  </si>
  <si>
    <r>
      <rPr>
        <rFont val="Noto Sans CJK SC"/>
        <color theme="1"/>
        <sz val="10.0"/>
      </rPr>
      <t>回答事業者の</t>
    </r>
    <r>
      <rPr>
        <rFont val="游ゴシック"/>
        <color theme="1"/>
        <sz val="10.0"/>
      </rPr>
      <t>ID</t>
    </r>
    <r>
      <rPr>
        <rFont val="Noto Sans CJK SC"/>
        <color theme="1"/>
        <sz val="10.0"/>
      </rPr>
      <t>基盤と連携または個人所有のアカウントを利用している</t>
    </r>
  </si>
  <si>
    <r>
      <rPr>
        <rFont val="Noto Sans CJK SC"/>
        <color theme="1"/>
        <sz val="10.0"/>
      </rPr>
      <t>詳細</t>
    </r>
    <r>
      <rPr>
        <rFont val="游ゴシック"/>
        <color theme="1"/>
        <sz val="10.0"/>
      </rPr>
      <t>(checkbox)</t>
    </r>
  </si>
  <si>
    <r>
      <rPr>
        <rFont val="Noto Sans CJK SC"/>
        <color theme="1"/>
        <sz val="10.0"/>
      </rPr>
      <t>回答事業者の</t>
    </r>
    <r>
      <rPr>
        <rFont val="游ゴシック"/>
        <color theme="1"/>
        <sz val="10.0"/>
      </rPr>
      <t>ID</t>
    </r>
    <r>
      <rPr>
        <rFont val="Noto Sans CJK SC"/>
        <color theme="1"/>
        <sz val="10.0"/>
      </rPr>
      <t>基盤と連携または個人所有のアカウントを利用している</t>
    </r>
  </si>
  <si>
    <r>
      <rPr>
        <rFont val="Noto Sans CJK SC"/>
        <color theme="1"/>
        <sz val="10.0"/>
      </rPr>
      <t>回答事業者の</t>
    </r>
    <r>
      <rPr>
        <rFont val="游ゴシック"/>
        <color theme="1"/>
        <sz val="10.0"/>
      </rPr>
      <t>ID</t>
    </r>
    <r>
      <rPr>
        <rFont val="Noto Sans CJK SC"/>
        <color theme="1"/>
        <sz val="10.0"/>
      </rPr>
      <t>基盤と連携している（フェデレーション）</t>
    </r>
  </si>
  <si>
    <r>
      <rPr>
        <rFont val="Noto Sans CJK SC"/>
        <color theme="1"/>
        <sz val="10.0"/>
      </rPr>
      <t>詳細</t>
    </r>
    <r>
      <rPr>
        <rFont val="游ゴシック"/>
        <color theme="1"/>
        <sz val="10.0"/>
      </rPr>
      <t>(checkbox)</t>
    </r>
  </si>
  <si>
    <r>
      <rPr>
        <rFont val="Noto Sans CJK SC"/>
        <color theme="1"/>
        <sz val="10.0"/>
      </rPr>
      <t>回答事業者の</t>
    </r>
    <r>
      <rPr>
        <rFont val="游ゴシック"/>
        <color theme="1"/>
        <sz val="10.0"/>
      </rPr>
      <t>ID</t>
    </r>
    <r>
      <rPr>
        <rFont val="Noto Sans CJK SC"/>
        <color theme="1"/>
        <sz val="10.0"/>
      </rPr>
      <t>基盤と連携または個人所有のアカウントを利用している</t>
    </r>
  </si>
  <si>
    <r>
      <rPr>
        <rFont val="Noto Sans CJK SC"/>
        <color theme="1"/>
        <sz val="10.0"/>
      </rPr>
      <t>個人所有のアカウントを利用している（</t>
    </r>
    <r>
      <rPr>
        <rFont val="游ゴシック"/>
        <color theme="1"/>
        <sz val="10.0"/>
      </rPr>
      <t>BYOID</t>
    </r>
    <r>
      <rPr>
        <rFont val="Noto Sans CJK SC"/>
        <color theme="1"/>
        <sz val="10.0"/>
      </rPr>
      <t>）</t>
    </r>
  </si>
  <si>
    <r>
      <rPr>
        <rFont val="Noto Sans CJK SC"/>
        <color theme="1"/>
        <sz val="10.0"/>
      </rPr>
      <t>取引元が管理するシステムを利用する際のアカウント運用形態について、該当するものを</t>
    </r>
    <r>
      <rPr>
        <rFont val="游ゴシック"/>
        <color theme="1"/>
        <sz val="10.0"/>
      </rPr>
      <t>...</t>
    </r>
  </si>
  <si>
    <r>
      <rPr>
        <rFont val="Noto Sans CJK SC"/>
        <color theme="1"/>
        <sz val="10.0"/>
      </rPr>
      <t>システムの利用者が退職・異動となった場合、取引元に対して、速やかにアカウントの削</t>
    </r>
    <r>
      <rPr>
        <rFont val="游ゴシック"/>
        <color theme="1"/>
        <sz val="10.0"/>
      </rPr>
      <t>...</t>
    </r>
  </si>
  <si>
    <r>
      <rPr>
        <rFont val="Noto Sans CJK SC"/>
        <color theme="1"/>
        <sz val="10.0"/>
      </rPr>
      <t>システムの利用者が退職・異動となった場合、取引元に対して、速やかにアカウントの削</t>
    </r>
    <r>
      <rPr>
        <rFont val="游ゴシック"/>
        <color theme="1"/>
        <sz val="10.0"/>
      </rPr>
      <t>...</t>
    </r>
  </si>
  <si>
    <r>
      <rPr>
        <rFont val="Noto Sans CJK SC"/>
        <color theme="1"/>
        <sz val="10.0"/>
      </rPr>
      <t>システムの利用者が退職・異動となった場合、取引元に対して、速やかにアカウントの削</t>
    </r>
    <r>
      <rPr>
        <rFont val="游ゴシック"/>
        <color theme="1"/>
        <sz val="10.0"/>
      </rPr>
      <t>...</t>
    </r>
  </si>
  <si>
    <r>
      <rPr>
        <rFont val="Noto Sans CJK SC"/>
        <color theme="1"/>
        <sz val="10.0"/>
      </rPr>
      <t>取引元から委譲された権限を使用したアカウントおよびアクセス権限の管理について、該</t>
    </r>
    <r>
      <rPr>
        <rFont val="游ゴシック"/>
        <color theme="1"/>
        <sz val="10.0"/>
      </rPr>
      <t>...</t>
    </r>
  </si>
  <si>
    <t>アカウントの発行やアクセス権限の付与を行う場合は、業務上の必要性を確認している</t>
  </si>
  <si>
    <r>
      <rPr>
        <rFont val="Noto Sans CJK SC"/>
        <color theme="1"/>
        <sz val="10.0"/>
      </rPr>
      <t>取引元から委譲された権限を使用したアカウントおよびアクセス権限の管理について、該</t>
    </r>
    <r>
      <rPr>
        <rFont val="游ゴシック"/>
        <color theme="1"/>
        <sz val="10.0"/>
      </rPr>
      <t>...</t>
    </r>
  </si>
  <si>
    <t>システムの利用者が退職・異動となった場合、速やかにアカウントの削除またはアクセス権限の剥奪を実施している</t>
  </si>
  <si>
    <r>
      <rPr>
        <rFont val="Noto Sans CJK SC"/>
        <color theme="1"/>
        <sz val="10.0"/>
      </rPr>
      <t>取引元から委譲された権限を使用したアカウントおよびアクセス権限の管理について、該</t>
    </r>
    <r>
      <rPr>
        <rFont val="游ゴシック"/>
        <color theme="1"/>
        <sz val="10.0"/>
      </rPr>
      <t>...</t>
    </r>
  </si>
  <si>
    <t>定期的にアカウントの棚卸を実施し、不要なアカウントやアクセス権限が残存していないことを確認している</t>
  </si>
  <si>
    <r>
      <rPr>
        <rFont val="Noto Sans CJK SC"/>
        <color theme="1"/>
        <sz val="10.0"/>
      </rPr>
      <t>取引元から委譲された権限を使用したアカウントおよびアクセス権限の管理について、該</t>
    </r>
    <r>
      <rPr>
        <rFont val="游ゴシック"/>
        <color theme="1"/>
        <sz val="10.0"/>
      </rPr>
      <t>...</t>
    </r>
  </si>
  <si>
    <r>
      <rPr>
        <rFont val="Noto Sans CJK SC"/>
        <color theme="1"/>
        <sz val="10.0"/>
      </rPr>
      <t>取引元から委譲された権限を使用したアカウントおよびアクセス権限の管理について、該</t>
    </r>
    <r>
      <rPr>
        <rFont val="游ゴシック"/>
        <color theme="1"/>
        <sz val="10.0"/>
      </rPr>
      <t>...</t>
    </r>
  </si>
  <si>
    <r>
      <rPr>
        <rFont val="Noto Sans CJK SC"/>
        <color theme="1"/>
        <sz val="10.0"/>
      </rPr>
      <t>回答事業者の</t>
    </r>
    <r>
      <rPr>
        <rFont val="游ゴシック"/>
        <color theme="1"/>
        <sz val="10.0"/>
      </rPr>
      <t>ID</t>
    </r>
    <r>
      <rPr>
        <rFont val="Noto Sans CJK SC"/>
        <color theme="1"/>
        <sz val="10.0"/>
      </rPr>
      <t>基盤におけるアカウント管理、および取引元システムへのアクセス権限</t>
    </r>
    <r>
      <rPr>
        <rFont val="游ゴシック"/>
        <color theme="1"/>
        <sz val="10.0"/>
      </rPr>
      <t>...</t>
    </r>
  </si>
  <si>
    <r>
      <rPr>
        <rFont val="Noto Sans CJK SC"/>
        <color theme="1"/>
        <sz val="10.0"/>
      </rPr>
      <t>システムの利用者が退職となった場合、回答事業者の</t>
    </r>
    <r>
      <rPr>
        <rFont val="游ゴシック"/>
        <color theme="1"/>
        <sz val="10.0"/>
      </rPr>
      <t>ID</t>
    </r>
    <r>
      <rPr>
        <rFont val="Noto Sans CJK SC"/>
        <color theme="1"/>
        <sz val="10.0"/>
      </rPr>
      <t>基盤において、速やかにアカウントの削除または無効化を実施している</t>
    </r>
  </si>
  <si>
    <r>
      <rPr>
        <rFont val="Noto Sans CJK SC"/>
        <color theme="1"/>
        <sz val="10.0"/>
      </rPr>
      <t>回答事業者の</t>
    </r>
    <r>
      <rPr>
        <rFont val="游ゴシック"/>
        <color theme="1"/>
        <sz val="10.0"/>
      </rPr>
      <t>ID</t>
    </r>
    <r>
      <rPr>
        <rFont val="Noto Sans CJK SC"/>
        <color theme="1"/>
        <sz val="10.0"/>
      </rPr>
      <t>基盤におけるアカウント管理、および取引元システムへのアクセス権限</t>
    </r>
    <r>
      <rPr>
        <rFont val="游ゴシック"/>
        <color theme="1"/>
        <sz val="10.0"/>
      </rPr>
      <t>...</t>
    </r>
  </si>
  <si>
    <t>システムの利用者が退職・異動となった場合、取引元に対して速やかにアクセス権限の剥奪を依頼している</t>
  </si>
  <si>
    <r>
      <rPr>
        <rFont val="Noto Sans CJK SC"/>
        <color theme="1"/>
        <sz val="10.0"/>
      </rPr>
      <t>回答事業者の</t>
    </r>
    <r>
      <rPr>
        <rFont val="游ゴシック"/>
        <color theme="1"/>
        <sz val="10.0"/>
      </rPr>
      <t>ID</t>
    </r>
    <r>
      <rPr>
        <rFont val="Noto Sans CJK SC"/>
        <color theme="1"/>
        <sz val="10.0"/>
      </rPr>
      <t>基盤におけるアカウント管理、および取引元システムへのアクセス権限</t>
    </r>
    <r>
      <rPr>
        <rFont val="游ゴシック"/>
        <color theme="1"/>
        <sz val="10.0"/>
      </rPr>
      <t>...</t>
    </r>
  </si>
  <si>
    <r>
      <rPr>
        <rFont val="Noto Sans CJK SC"/>
        <color theme="1"/>
        <sz val="10.0"/>
      </rPr>
      <t>回答事業者の</t>
    </r>
    <r>
      <rPr>
        <rFont val="游ゴシック"/>
        <color theme="1"/>
        <sz val="10.0"/>
      </rPr>
      <t>ID</t>
    </r>
    <r>
      <rPr>
        <rFont val="Noto Sans CJK SC"/>
        <color theme="1"/>
        <sz val="10.0"/>
      </rPr>
      <t>基盤におけるアカウント管理、および取引元システムへのアクセス権限</t>
    </r>
    <r>
      <rPr>
        <rFont val="游ゴシック"/>
        <color theme="1"/>
        <sz val="10.0"/>
      </rPr>
      <t>...</t>
    </r>
  </si>
  <si>
    <r>
      <rPr>
        <rFont val="Noto Sans CJK SC"/>
        <color theme="1"/>
        <sz val="10.0"/>
      </rPr>
      <t>取引元が管理するシステムを利用する際のアカウントを共用していますか。</t>
    </r>
    <r>
      <rPr>
        <rFont val="游ゴシック"/>
        <color theme="1"/>
        <sz val="10.0"/>
      </rPr>
      <t>...</t>
    </r>
  </si>
  <si>
    <t>はい（共用アカウントが存在する）</t>
  </si>
  <si>
    <r>
      <rPr>
        <rFont val="Noto Sans CJK SC"/>
        <color theme="1"/>
        <sz val="10.0"/>
      </rPr>
      <t>取引元が管理するシステムを利用する際のアカウントを共用していますか。</t>
    </r>
    <r>
      <rPr>
        <rFont val="游ゴシック"/>
        <color theme="1"/>
        <sz val="10.0"/>
      </rPr>
      <t>...</t>
    </r>
  </si>
  <si>
    <t>いいえ（共用アカウントは存在しない）</t>
  </si>
  <si>
    <r>
      <rPr>
        <rFont val="Noto Sans CJK SC"/>
        <color theme="1"/>
        <sz val="10.0"/>
      </rPr>
      <t>取引元が管理するシステムを利用する際のアカウントを共用していますか。</t>
    </r>
    <r>
      <rPr>
        <rFont val="游ゴシック"/>
        <color theme="1"/>
        <sz val="10.0"/>
      </rPr>
      <t>...</t>
    </r>
  </si>
  <si>
    <r>
      <rPr>
        <rFont val="Noto Sans CJK SC"/>
        <color theme="1"/>
        <sz val="10.0"/>
      </rPr>
      <t>共用アカウントについて実施している対策をすべて選択してください。</t>
    </r>
    <r>
      <rPr>
        <rFont val="游ゴシック"/>
        <color theme="1"/>
        <sz val="10.0"/>
      </rPr>
      <t>...</t>
    </r>
  </si>
  <si>
    <r>
      <rPr>
        <rFont val="Noto Sans CJK SC"/>
        <color theme="1"/>
        <sz val="10.0"/>
      </rPr>
      <t>共用アカウントについて実施している対策をすべて選択してください。</t>
    </r>
    <r>
      <rPr>
        <rFont val="游ゴシック"/>
        <color theme="1"/>
        <sz val="10.0"/>
      </rPr>
      <t>...</t>
    </r>
  </si>
  <si>
    <t>事前に社内承認を得た場合のみ利用可能としている</t>
  </si>
  <si>
    <r>
      <rPr>
        <rFont val="Noto Sans CJK SC"/>
        <color theme="1"/>
        <sz val="10.0"/>
      </rPr>
      <t>共用アカウントについて実施している対策をすべて選択してください。</t>
    </r>
    <r>
      <rPr>
        <rFont val="游ゴシック"/>
        <color theme="1"/>
        <sz val="10.0"/>
      </rPr>
      <t>...</t>
    </r>
  </si>
  <si>
    <t>共用アカウントを貸出運用とし、返却の都度、認証情報（パスワード等）を変更している</t>
  </si>
  <si>
    <r>
      <rPr>
        <rFont val="Noto Sans CJK SC"/>
        <color theme="1"/>
        <sz val="10.0"/>
      </rPr>
      <t>共用アカウントについて実施している対策をすべて選択してください。</t>
    </r>
    <r>
      <rPr>
        <rFont val="游ゴシック"/>
        <color theme="1"/>
        <sz val="10.0"/>
      </rPr>
      <t>...</t>
    </r>
  </si>
  <si>
    <t>管理簿や利用ログ等で適切な利用かを確認している</t>
  </si>
  <si>
    <r>
      <rPr>
        <rFont val="Noto Sans CJK SC"/>
        <color theme="1"/>
        <sz val="10.0"/>
      </rPr>
      <t>共用アカウントについて実施している対策をすべて選択してください。</t>
    </r>
    <r>
      <rPr>
        <rFont val="游ゴシック"/>
        <color theme="1"/>
        <sz val="10.0"/>
      </rPr>
      <t>...</t>
    </r>
  </si>
  <si>
    <r>
      <rPr>
        <rFont val="Noto Sans CJK SC"/>
        <color theme="1"/>
        <sz val="10.0"/>
      </rPr>
      <t>共用アカウントについて実施している対策をすべて選択してください。</t>
    </r>
    <r>
      <rPr>
        <rFont val="游ゴシック"/>
        <color theme="1"/>
        <sz val="10.0"/>
      </rPr>
      <t>...</t>
    </r>
  </si>
  <si>
    <r>
      <rPr>
        <rFont val="Noto Sans CJK SC"/>
        <color theme="1"/>
        <sz val="10.0"/>
      </rPr>
      <t>共用アカウントについて実施している対策をすべて選択してください。</t>
    </r>
    <r>
      <rPr>
        <rFont val="游ゴシック"/>
        <color theme="1"/>
        <sz val="10.0"/>
      </rPr>
      <t>...</t>
    </r>
  </si>
  <si>
    <r>
      <rPr>
        <rFont val="Noto Sans CJK SC"/>
        <color theme="1"/>
        <sz val="10.0"/>
      </rPr>
      <t>データに関する暗号化について、実施していることをすべて選択してください。</t>
    </r>
    <r>
      <rPr>
        <rFont val="游ゴシック"/>
        <color theme="1"/>
        <sz val="10.0"/>
      </rPr>
      <t>...</t>
    </r>
  </si>
  <si>
    <t>安全性が認められたプロトコルやアルゴリズムを使用して暗号化することを定めている</t>
  </si>
  <si>
    <r>
      <rPr>
        <rFont val="Noto Sans CJK SC"/>
        <color theme="1"/>
        <sz val="10.0"/>
      </rPr>
      <t>データに関する暗号化について、実施していることをすべて選択してください。</t>
    </r>
    <r>
      <rPr>
        <rFont val="游ゴシック"/>
        <color theme="1"/>
        <sz val="10.0"/>
      </rPr>
      <t>...</t>
    </r>
  </si>
  <si>
    <t>安全な暗号化方式と十分な鍵長により、業務情報が格納されたデータベースやファイルを暗号化している</t>
  </si>
  <si>
    <r>
      <rPr>
        <rFont val="Noto Sans CJK SC"/>
        <color theme="1"/>
        <sz val="10.0"/>
      </rPr>
      <t>データに関する暗号化について、実施していることをすべて選択してください。</t>
    </r>
    <r>
      <rPr>
        <rFont val="游ゴシック"/>
        <color theme="1"/>
        <sz val="10.0"/>
      </rPr>
      <t>...</t>
    </r>
  </si>
  <si>
    <t>安全な暗号方式と十分な鍵長により、バックアップデータを暗号化している</t>
  </si>
  <si>
    <r>
      <rPr>
        <rFont val="Noto Sans CJK SC"/>
        <color theme="1"/>
        <sz val="10.0"/>
      </rPr>
      <t>データに関する暗号化について、実施していることをすべて選択してください。</t>
    </r>
    <r>
      <rPr>
        <rFont val="游ゴシック"/>
        <color theme="1"/>
        <sz val="10.0"/>
      </rPr>
      <t>...</t>
    </r>
  </si>
  <si>
    <r>
      <rPr>
        <rFont val="Noto Sans CJK SC"/>
        <color theme="1"/>
        <sz val="10.0"/>
      </rPr>
      <t>データに関する暗号化について、実施していることをすべて選択してください。</t>
    </r>
    <r>
      <rPr>
        <rFont val="游ゴシック"/>
        <color theme="1"/>
        <sz val="10.0"/>
      </rPr>
      <t>...</t>
    </r>
  </si>
  <si>
    <r>
      <rPr>
        <rFont val="Noto Sans CJK SC"/>
        <color theme="1"/>
        <sz val="10.0"/>
      </rPr>
      <t>オフィスの物理セキュリティ対策について、該当する選択肢をすべて選択してください。</t>
    </r>
    <r>
      <rPr>
        <rFont val="游ゴシック"/>
        <color theme="1"/>
        <sz val="10.0"/>
      </rPr>
      <t>...</t>
    </r>
  </si>
  <si>
    <r>
      <rPr>
        <rFont val="Noto Sans CJK SC"/>
        <color theme="1"/>
        <sz val="10.0"/>
      </rPr>
      <t>オフィスへの入館および情報資産が保管されている区画への入室は承認にもとづき許可され、</t>
    </r>
    <r>
      <rPr>
        <rFont val="游ゴシック"/>
        <color theme="1"/>
        <sz val="10.0"/>
      </rPr>
      <t>IC</t>
    </r>
    <r>
      <rPr>
        <rFont val="Noto Sans CJK SC"/>
        <color theme="1"/>
        <sz val="10.0"/>
      </rPr>
      <t>カード認証や生体認証等の認証により制御している</t>
    </r>
  </si>
  <si>
    <r>
      <rPr>
        <rFont val="Noto Sans CJK SC"/>
        <color theme="1"/>
        <sz val="10.0"/>
      </rPr>
      <t>オフィスの物理セキュリティ対策について、該当する選択肢をすべて選択してください。</t>
    </r>
    <r>
      <rPr>
        <rFont val="游ゴシック"/>
        <color theme="1"/>
        <sz val="10.0"/>
      </rPr>
      <t>...</t>
    </r>
  </si>
  <si>
    <t>入退館ログや入退室ログを定期的に確認し、不正アクセスがないか確認している</t>
  </si>
  <si>
    <r>
      <rPr>
        <rFont val="Noto Sans CJK SC"/>
        <color theme="1"/>
        <sz val="10.0"/>
      </rPr>
      <t>オフィスの物理セキュリティ対策について、該当する選択肢をすべて選択してください。</t>
    </r>
    <r>
      <rPr>
        <rFont val="游ゴシック"/>
        <color theme="1"/>
        <sz val="10.0"/>
      </rPr>
      <t>...</t>
    </r>
  </si>
  <si>
    <t>オフィス内の情報資産の重要性に応じて、入室制限に加えて追加の物理セキュリティ対策を定めている</t>
  </si>
  <si>
    <r>
      <rPr>
        <rFont val="Noto Sans CJK SC"/>
        <color theme="1"/>
        <sz val="10.0"/>
      </rPr>
      <t>詳細</t>
    </r>
    <r>
      <rPr>
        <rFont val="游ゴシック"/>
        <color theme="1"/>
        <sz val="10.0"/>
      </rPr>
      <t>(checkbox)</t>
    </r>
  </si>
  <si>
    <t>防犯設備（監視カメラ、物理的な侵入検知システム等）の導入</t>
  </si>
  <si>
    <r>
      <rPr>
        <rFont val="Noto Sans CJK SC"/>
        <color theme="1"/>
        <sz val="10.0"/>
      </rPr>
      <t>詳細</t>
    </r>
    <r>
      <rPr>
        <rFont val="游ゴシック"/>
        <color theme="1"/>
        <sz val="10.0"/>
      </rPr>
      <t>(checkbox)</t>
    </r>
  </si>
  <si>
    <t>立会人を同行</t>
  </si>
  <si>
    <r>
      <rPr>
        <rFont val="Noto Sans CJK SC"/>
        <color theme="1"/>
        <sz val="10.0"/>
      </rPr>
      <t>詳細</t>
    </r>
    <r>
      <rPr>
        <rFont val="游ゴシック"/>
        <color theme="1"/>
        <sz val="10.0"/>
      </rPr>
      <t>(checkbox)</t>
    </r>
  </si>
  <si>
    <t>持ち込み品および持ち出し品の制限</t>
  </si>
  <si>
    <r>
      <rPr>
        <rFont val="Noto Sans CJK SC"/>
        <color theme="1"/>
        <sz val="10.0"/>
      </rPr>
      <t>詳細</t>
    </r>
    <r>
      <rPr>
        <rFont val="游ゴシック"/>
        <color theme="1"/>
        <sz val="10.0"/>
      </rPr>
      <t>(checkbox)</t>
    </r>
  </si>
  <si>
    <r>
      <rPr>
        <rFont val="Noto Sans CJK SC"/>
        <color theme="1"/>
        <sz val="10.0"/>
      </rPr>
      <t>オフィスの物理セキュリティ対策について、該当する選択肢をすべて選択してください。</t>
    </r>
    <r>
      <rPr>
        <rFont val="游ゴシック"/>
        <color theme="1"/>
        <sz val="10.0"/>
      </rPr>
      <t>...</t>
    </r>
  </si>
  <si>
    <t>ネットワーク機器、サーバ等の設置エリア・ラックが施錠されている</t>
  </si>
  <si>
    <r>
      <rPr>
        <rFont val="Noto Sans CJK SC"/>
        <color theme="1"/>
        <sz val="10.0"/>
      </rPr>
      <t>オフィスの物理セキュリティ対策について、該当する選択肢をすべて選択してください。</t>
    </r>
    <r>
      <rPr>
        <rFont val="游ゴシック"/>
        <color theme="1"/>
        <sz val="10.0"/>
      </rPr>
      <t>...</t>
    </r>
  </si>
  <si>
    <r>
      <rPr>
        <rFont val="Noto Sans CJK SC"/>
        <color theme="1"/>
        <sz val="10.0"/>
      </rPr>
      <t>オフィスの物理セキュリティ対策について、該当する選択肢をすべて選択してください。</t>
    </r>
    <r>
      <rPr>
        <rFont val="游ゴシック"/>
        <color theme="1"/>
        <sz val="10.0"/>
      </rPr>
      <t>...</t>
    </r>
  </si>
  <si>
    <r>
      <rPr>
        <rFont val="Noto Sans CJK SC"/>
        <color theme="1"/>
        <sz val="10.0"/>
      </rPr>
      <t>データセンターの利用形態について、該当するものをすべて選択してください。</t>
    </r>
    <r>
      <rPr>
        <rFont val="游ゴシック"/>
        <color theme="1"/>
        <sz val="10.0"/>
      </rPr>
      <t>...</t>
    </r>
  </si>
  <si>
    <t>自社データセンターや自社内のサーバルーム</t>
  </si>
  <si>
    <r>
      <rPr>
        <rFont val="Noto Sans CJK SC"/>
        <color theme="1"/>
        <sz val="10.0"/>
      </rPr>
      <t>データセンターの利用形態について、該当するものをすべて選択してください。</t>
    </r>
    <r>
      <rPr>
        <rFont val="游ゴシック"/>
        <color theme="1"/>
        <sz val="10.0"/>
      </rPr>
      <t>...</t>
    </r>
  </si>
  <si>
    <r>
      <rPr>
        <rFont val="游ゴシック"/>
        <color theme="1"/>
        <sz val="10.0"/>
      </rPr>
      <t>IaaS/PaaS</t>
    </r>
    <r>
      <rPr>
        <rFont val="Noto Sans CJK SC"/>
        <color theme="1"/>
        <sz val="10.0"/>
      </rPr>
      <t>等</t>
    </r>
  </si>
  <si>
    <r>
      <rPr>
        <rFont val="Noto Sans CJK SC"/>
        <color theme="1"/>
        <sz val="10.0"/>
      </rPr>
      <t>データセンターの利用形態について、該当するものをすべて選択してください。</t>
    </r>
    <r>
      <rPr>
        <rFont val="游ゴシック"/>
        <color theme="1"/>
        <sz val="10.0"/>
      </rPr>
      <t>...</t>
    </r>
  </si>
  <si>
    <t>他社データセンター（ハウジングやホスティング）</t>
  </si>
  <si>
    <r>
      <rPr>
        <rFont val="Noto Sans CJK SC"/>
        <color theme="1"/>
        <sz val="10.0"/>
      </rPr>
      <t>データセンターの利用形態について、該当するものをすべて選択してください。</t>
    </r>
    <r>
      <rPr>
        <rFont val="游ゴシック"/>
        <color theme="1"/>
        <sz val="10.0"/>
      </rPr>
      <t>...</t>
    </r>
  </si>
  <si>
    <t>データセンターを利用していない</t>
  </si>
  <si>
    <r>
      <rPr>
        <rFont val="Noto Sans CJK SC"/>
        <color theme="1"/>
        <sz val="10.0"/>
      </rPr>
      <t>データセンターの利用形態について、該当するものをすべて選択してください。</t>
    </r>
    <r>
      <rPr>
        <rFont val="游ゴシック"/>
        <color theme="1"/>
        <sz val="10.0"/>
      </rPr>
      <t>...</t>
    </r>
  </si>
  <si>
    <r>
      <rPr>
        <rFont val="Noto Sans CJK SC"/>
        <color theme="1"/>
        <sz val="10.0"/>
      </rPr>
      <t>システムが稼働しているデータセンターの耐震・耐火対策について、該当する選択肢をす</t>
    </r>
    <r>
      <rPr>
        <rFont val="游ゴシック"/>
        <color theme="1"/>
        <sz val="10.0"/>
      </rPr>
      <t>...</t>
    </r>
  </si>
  <si>
    <t>電力設備と電力ケーブルを損傷および破壊から保護している</t>
  </si>
  <si>
    <r>
      <rPr>
        <rFont val="Noto Sans CJK SC"/>
        <color theme="1"/>
        <sz val="10.0"/>
      </rPr>
      <t>システムが稼働しているデータセンターの耐震・耐火対策について、該当する選択肢をす</t>
    </r>
    <r>
      <rPr>
        <rFont val="游ゴシック"/>
        <color theme="1"/>
        <sz val="10.0"/>
      </rPr>
      <t>...</t>
    </r>
  </si>
  <si>
    <r>
      <rPr>
        <rFont val="Noto Sans CJK SC"/>
        <color theme="1"/>
        <sz val="10.0"/>
      </rPr>
      <t>主電源が失われた場合に備え非常用電源や無停電電源装置（</t>
    </r>
    <r>
      <rPr>
        <rFont val="游ゴシック"/>
        <color theme="1"/>
        <sz val="10.0"/>
      </rPr>
      <t>UPS</t>
    </r>
    <r>
      <rPr>
        <rFont val="Noto Sans CJK SC"/>
        <color theme="1"/>
        <sz val="10.0"/>
      </rPr>
      <t>）を導入している</t>
    </r>
  </si>
  <si>
    <r>
      <rPr>
        <rFont val="Noto Sans CJK SC"/>
        <color theme="1"/>
        <sz val="10.0"/>
      </rPr>
      <t>システムが稼働しているデータセンターの耐震・耐火対策について、該当する選択肢をす</t>
    </r>
    <r>
      <rPr>
        <rFont val="游ゴシック"/>
        <color theme="1"/>
        <sz val="10.0"/>
      </rPr>
      <t>...</t>
    </r>
  </si>
  <si>
    <t>免震や耐震等の地震対策を導入している</t>
  </si>
  <si>
    <r>
      <rPr>
        <rFont val="Noto Sans CJK SC"/>
        <color theme="1"/>
        <sz val="10.0"/>
      </rPr>
      <t>システムが稼働しているデータセンターの耐震・耐火対策について、該当する選択肢をす</t>
    </r>
    <r>
      <rPr>
        <rFont val="游ゴシック"/>
        <color theme="1"/>
        <sz val="10.0"/>
      </rPr>
      <t>...</t>
    </r>
  </si>
  <si>
    <t>消火および火災検知のための装置や仕組みを導入している</t>
  </si>
  <si>
    <r>
      <rPr>
        <rFont val="Noto Sans CJK SC"/>
        <color theme="1"/>
        <sz val="10.0"/>
      </rPr>
      <t>システムが稼働しているデータセンターの耐震・耐火対策について、該当する選択肢をす</t>
    </r>
    <r>
      <rPr>
        <rFont val="游ゴシック"/>
        <color theme="1"/>
        <sz val="10.0"/>
      </rPr>
      <t>...</t>
    </r>
  </si>
  <si>
    <t>雷対策を導入している</t>
  </si>
  <si>
    <r>
      <rPr>
        <rFont val="Noto Sans CJK SC"/>
        <color theme="1"/>
        <sz val="10.0"/>
      </rPr>
      <t>システムが稼働しているデータセンターの耐震・耐火対策について、該当する選択肢をす</t>
    </r>
    <r>
      <rPr>
        <rFont val="游ゴシック"/>
        <color theme="1"/>
        <sz val="10.0"/>
      </rPr>
      <t>...</t>
    </r>
  </si>
  <si>
    <t>温度と湿度を保つための装置や仕組みを導入している</t>
  </si>
  <si>
    <r>
      <rPr>
        <rFont val="Noto Sans CJK SC"/>
        <color theme="1"/>
        <sz val="10.0"/>
      </rPr>
      <t>システムが稼働しているデータセンターの耐震・耐火対策について、該当する選択肢をす</t>
    </r>
    <r>
      <rPr>
        <rFont val="游ゴシック"/>
        <color theme="1"/>
        <sz val="10.0"/>
      </rPr>
      <t>...</t>
    </r>
  </si>
  <si>
    <t>防水措置や漏水防止対策を導入している</t>
  </si>
  <si>
    <r>
      <rPr>
        <rFont val="Noto Sans CJK SC"/>
        <color theme="1"/>
        <sz val="10.0"/>
      </rPr>
      <t>システムが稼働しているデータセンターの耐震・耐火対策について、該当する選択肢をす</t>
    </r>
    <r>
      <rPr>
        <rFont val="游ゴシック"/>
        <color theme="1"/>
        <sz val="10.0"/>
      </rPr>
      <t>...</t>
    </r>
  </si>
  <si>
    <t>代替通信サービスを確立している</t>
  </si>
  <si>
    <r>
      <rPr>
        <rFont val="Noto Sans CJK SC"/>
        <color theme="1"/>
        <sz val="10.0"/>
      </rPr>
      <t>システムが稼働しているデータセンターの耐震・耐火対策について、該当する選択肢をす</t>
    </r>
    <r>
      <rPr>
        <rFont val="游ゴシック"/>
        <color theme="1"/>
        <sz val="10.0"/>
      </rPr>
      <t>...</t>
    </r>
  </si>
  <si>
    <t>代替拠点を用意している</t>
  </si>
  <si>
    <r>
      <rPr>
        <rFont val="Noto Sans CJK SC"/>
        <color theme="1"/>
        <sz val="10.0"/>
      </rPr>
      <t>システムが稼働しているデータセンターの耐震・耐火対策について、該当する選択肢をす</t>
    </r>
    <r>
      <rPr>
        <rFont val="游ゴシック"/>
        <color theme="1"/>
        <sz val="10.0"/>
      </rPr>
      <t>...</t>
    </r>
  </si>
  <si>
    <t>上記の対策・設備について定期的に点検している</t>
  </si>
  <si>
    <r>
      <rPr>
        <rFont val="Noto Sans CJK SC"/>
        <color theme="1"/>
        <sz val="10.0"/>
      </rPr>
      <t>システムが稼働しているデータセンターの耐震・耐火対策について、該当する選択肢をす</t>
    </r>
    <r>
      <rPr>
        <rFont val="游ゴシック"/>
        <color theme="1"/>
        <sz val="10.0"/>
      </rPr>
      <t>...</t>
    </r>
  </si>
  <si>
    <r>
      <rPr>
        <rFont val="Noto Sans CJK SC"/>
        <color theme="1"/>
        <sz val="10.0"/>
      </rPr>
      <t>システムが稼働しているデータセンターの耐震・耐火対策について、該当する選択肢をす</t>
    </r>
    <r>
      <rPr>
        <rFont val="游ゴシック"/>
        <color theme="1"/>
        <sz val="10.0"/>
      </rPr>
      <t>...</t>
    </r>
  </si>
  <si>
    <r>
      <rPr>
        <rFont val="Noto Sans CJK SC"/>
        <color theme="1"/>
        <sz val="10.0"/>
      </rPr>
      <t>システムが稼働しているデータセンターにおける物理セキュリティ対策について、該当す</t>
    </r>
    <r>
      <rPr>
        <rFont val="游ゴシック"/>
        <color theme="1"/>
        <sz val="10.0"/>
      </rPr>
      <t>...</t>
    </r>
  </si>
  <si>
    <t>情報資産の重要度に基づいて、物理的セキュリティ対策の位置や強度を定めている</t>
  </si>
  <si>
    <r>
      <rPr>
        <rFont val="Noto Sans CJK SC"/>
        <color theme="1"/>
        <sz val="10.0"/>
      </rPr>
      <t>システムが稼働しているデータセンターにおける物理セキュリティ対策について、該当す</t>
    </r>
    <r>
      <rPr>
        <rFont val="游ゴシック"/>
        <color theme="1"/>
        <sz val="10.0"/>
      </rPr>
      <t>...</t>
    </r>
  </si>
  <si>
    <r>
      <rPr>
        <rFont val="Noto Sans CJK SC"/>
        <color theme="1"/>
        <sz val="10.0"/>
      </rPr>
      <t>データセンターへの入館および情報資産が保管されている区画への入室は承認にもとづき許可され、</t>
    </r>
    <r>
      <rPr>
        <rFont val="游ゴシック"/>
        <color theme="1"/>
        <sz val="10.0"/>
      </rPr>
      <t>IC</t>
    </r>
    <r>
      <rPr>
        <rFont val="Noto Sans CJK SC"/>
        <color theme="1"/>
        <sz val="10.0"/>
      </rPr>
      <t>カード認証や生体認証等の認証により制御している</t>
    </r>
  </si>
  <si>
    <r>
      <rPr>
        <rFont val="Noto Sans CJK SC"/>
        <color theme="1"/>
        <sz val="10.0"/>
      </rPr>
      <t>システムが稼働しているデータセンターにおける物理セキュリティ対策について、該当す</t>
    </r>
    <r>
      <rPr>
        <rFont val="游ゴシック"/>
        <color theme="1"/>
        <sz val="10.0"/>
      </rPr>
      <t>...</t>
    </r>
  </si>
  <si>
    <t>入退館ログおよび入退室ログを定期的に確認し、不正アクセスがないか確認している</t>
  </si>
  <si>
    <r>
      <rPr>
        <rFont val="Noto Sans CJK SC"/>
        <color theme="1"/>
        <sz val="10.0"/>
      </rPr>
      <t>システムが稼働しているデータセンターにおける物理セキュリティ対策について、該当す</t>
    </r>
    <r>
      <rPr>
        <rFont val="游ゴシック"/>
        <color theme="1"/>
        <sz val="10.0"/>
      </rPr>
      <t>...</t>
    </r>
  </si>
  <si>
    <t>データセンター内の情報資産の重要性に応じて、入室制限に加えて追加の物理セキュリティ対策を定めている</t>
  </si>
  <si>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</si>
  <si>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</si>
  <si>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</si>
  <si>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</si>
  <si>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システムが稼働しているデータセンターにおける物理セキュリティ対策について、該当す</t>
    </r>
    <r>
      <rPr>
        <rFont val="游ゴシック"/>
        <color theme="1"/>
        <sz val="10.0"/>
      </rPr>
      <t>...</t>
    </r>
  </si>
  <si>
    <r>
      <rPr>
        <rFont val="Noto Sans CJK SC"/>
        <color theme="1"/>
        <sz val="10.0"/>
      </rPr>
      <t>システムが稼働しているデータセンターにおける物理セキュリティ対策について、該当す</t>
    </r>
    <r>
      <rPr>
        <rFont val="游ゴシック"/>
        <color theme="1"/>
        <sz val="10.0"/>
      </rPr>
      <t>...</t>
    </r>
  </si>
  <si>
    <r>
      <rPr>
        <rFont val="Noto Sans CJK SC"/>
        <color theme="1"/>
        <sz val="10.0"/>
      </rPr>
      <t>利用している</t>
    </r>
    <r>
      <rPr>
        <rFont val="游ゴシック"/>
        <color theme="1"/>
        <sz val="10.0"/>
      </rPr>
      <t>IaaS/PaaS</t>
    </r>
    <r>
      <rPr>
        <rFont val="Noto Sans CJK SC"/>
        <color theme="1"/>
        <sz val="10.0"/>
      </rPr>
      <t>等、そのほか自社以外のデータセンターの選定にあたり</t>
    </r>
    <r>
      <rPr>
        <rFont val="游ゴシック"/>
        <color theme="1"/>
        <sz val="10.0"/>
      </rPr>
      <t>...</t>
    </r>
  </si>
  <si>
    <r>
      <rPr>
        <rFont val="Noto Sans CJK SC"/>
        <color theme="1"/>
        <sz val="10.0"/>
      </rPr>
      <t>利用している</t>
    </r>
    <r>
      <rPr>
        <rFont val="游ゴシック"/>
        <color theme="1"/>
        <sz val="10.0"/>
      </rPr>
      <t>IaaS/PaaS</t>
    </r>
    <r>
      <rPr>
        <rFont val="Noto Sans CJK SC"/>
        <color theme="1"/>
        <sz val="10.0"/>
      </rPr>
      <t>等、そのほか自社以外のデータセンターの選定にあたり</t>
    </r>
    <r>
      <rPr>
        <rFont val="游ゴシック"/>
        <color theme="1"/>
        <sz val="10.0"/>
      </rPr>
      <t>...</t>
    </r>
  </si>
  <si>
    <r>
      <rPr>
        <rFont val="Noto Sans CJK SC"/>
        <color theme="1"/>
        <sz val="10.0"/>
      </rPr>
      <t>利用している</t>
    </r>
    <r>
      <rPr>
        <rFont val="游ゴシック"/>
        <color theme="1"/>
        <sz val="10.0"/>
      </rPr>
      <t>IaaS/PaaS</t>
    </r>
    <r>
      <rPr>
        <rFont val="Noto Sans CJK SC"/>
        <color theme="1"/>
        <sz val="10.0"/>
      </rPr>
      <t>等、そのほか自社以外のデータセンターの選定にあたり</t>
    </r>
    <r>
      <rPr>
        <rFont val="游ゴシック"/>
        <color theme="1"/>
        <sz val="10.0"/>
      </rPr>
      <t>...</t>
    </r>
  </si>
  <si>
    <r>
      <rPr>
        <rFont val="Noto Sans CJK SC"/>
        <color theme="1"/>
        <sz val="10.0"/>
      </rPr>
      <t>システムの保守、運用において、実施している対策をすべて選択してください。</t>
    </r>
    <r>
      <rPr>
        <rFont val="游ゴシック"/>
        <color theme="1"/>
        <sz val="10.0"/>
      </rPr>
      <t>...</t>
    </r>
  </si>
  <si>
    <t>運用手順について、マニュアルや運用手順書のような形式で文書化している</t>
  </si>
  <si>
    <r>
      <rPr>
        <rFont val="Noto Sans CJK SC"/>
        <color theme="1"/>
        <sz val="10.0"/>
      </rPr>
      <t>システムの保守、運用において、実施している対策をすべて選択してください。</t>
    </r>
    <r>
      <rPr>
        <rFont val="游ゴシック"/>
        <color theme="1"/>
        <sz val="10.0"/>
      </rPr>
      <t>...</t>
    </r>
  </si>
  <si>
    <t>マニュアルや運用手順書について定期的に見直している</t>
  </si>
  <si>
    <r>
      <rPr>
        <rFont val="Noto Sans CJK SC"/>
        <color theme="1"/>
        <sz val="10.0"/>
      </rPr>
      <t>システムの保守、運用において、実施している対策をすべて選択してください。</t>
    </r>
    <r>
      <rPr>
        <rFont val="游ゴシック"/>
        <color theme="1"/>
        <sz val="10.0"/>
      </rPr>
      <t>...</t>
    </r>
  </si>
  <si>
    <t>保守、運用作業時の安全性を確保する対策を実施している</t>
  </si>
  <si>
    <r>
      <rPr>
        <rFont val="Noto Sans CJK SC"/>
        <color theme="1"/>
        <sz val="10.0"/>
      </rPr>
      <t>詳細</t>
    </r>
    <r>
      <rPr>
        <rFont val="游ゴシック"/>
        <color theme="1"/>
        <sz val="10.0"/>
      </rPr>
      <t>(checkbox)</t>
    </r>
  </si>
  <si>
    <t>複数人での作業体制</t>
  </si>
  <si>
    <r>
      <rPr>
        <rFont val="Noto Sans CJK SC"/>
        <color theme="1"/>
        <sz val="10.0"/>
      </rPr>
      <t>詳細</t>
    </r>
    <r>
      <rPr>
        <rFont val="游ゴシック"/>
        <color theme="1"/>
        <sz val="10.0"/>
      </rPr>
      <t>(checkbox)</t>
    </r>
  </si>
  <si>
    <t>作業計画および作業結果のチェック・承認</t>
  </si>
  <si>
    <r>
      <rPr>
        <rFont val="Noto Sans CJK SC"/>
        <color theme="1"/>
        <sz val="10.0"/>
      </rPr>
      <t>詳細</t>
    </r>
    <r>
      <rPr>
        <rFont val="游ゴシック"/>
        <color theme="1"/>
        <sz val="10.0"/>
      </rPr>
      <t>(checkbox)</t>
    </r>
  </si>
  <si>
    <r>
      <rPr>
        <rFont val="Noto Sans CJK SC"/>
        <color theme="1"/>
        <sz val="10.0"/>
      </rPr>
      <t>システムの保守、運用において、実施している対策をすべて選択してください。</t>
    </r>
    <r>
      <rPr>
        <rFont val="游ゴシック"/>
        <color theme="1"/>
        <sz val="10.0"/>
      </rPr>
      <t>...</t>
    </r>
  </si>
  <si>
    <r>
      <rPr>
        <rFont val="Noto Sans CJK SC"/>
        <color theme="1"/>
        <sz val="10.0"/>
      </rPr>
      <t>システムの保守、運用において、実施している対策をすべて選択してください。</t>
    </r>
    <r>
      <rPr>
        <rFont val="游ゴシック"/>
        <color theme="1"/>
        <sz val="10.0"/>
      </rPr>
      <t>...</t>
    </r>
  </si>
  <si>
    <r>
      <rPr>
        <rFont val="Noto Sans CJK SC"/>
        <color theme="1"/>
        <sz val="10.0"/>
      </rPr>
      <t>システムの保守、運用において、実施している対策をすべて選択してください。</t>
    </r>
    <r>
      <rPr>
        <rFont val="游ゴシック"/>
        <color theme="1"/>
        <sz val="10.0"/>
      </rPr>
      <t>...</t>
    </r>
  </si>
  <si>
    <r>
      <rPr>
        <rFont val="Noto Sans CJK SC"/>
        <color theme="1"/>
        <sz val="10.0"/>
      </rPr>
      <t>バックアップやリストアテストについて、該当する選択肢をすべて選択してください。</t>
    </r>
    <r>
      <rPr>
        <rFont val="游ゴシック"/>
        <color theme="1"/>
        <sz val="10.0"/>
      </rPr>
      <t>...</t>
    </r>
  </si>
  <si>
    <t>バックアップを取得している</t>
  </si>
  <si>
    <r>
      <rPr>
        <rFont val="Noto Sans CJK SC"/>
        <color theme="1"/>
        <sz val="10.0"/>
      </rPr>
      <t>詳細</t>
    </r>
    <r>
      <rPr>
        <rFont val="游ゴシック"/>
        <color theme="1"/>
        <sz val="10.0"/>
      </rPr>
      <t>(freetext)</t>
    </r>
  </si>
  <si>
    <t>世代</t>
  </si>
  <si>
    <r>
      <rPr>
        <rFont val="Noto Sans CJK SC"/>
        <color theme="1"/>
        <sz val="10.0"/>
      </rPr>
      <t>詳細</t>
    </r>
    <r>
      <rPr>
        <rFont val="游ゴシック"/>
        <color theme="1"/>
        <sz val="10.0"/>
      </rPr>
      <t>(freetext)</t>
    </r>
  </si>
  <si>
    <r>
      <rPr>
        <rFont val="Noto Sans CJK SC"/>
        <color theme="1"/>
        <sz val="10.0"/>
      </rPr>
      <t>バックアップやリストアテストについて、該当する選択肢をすべて選択してください。</t>
    </r>
    <r>
      <rPr>
        <rFont val="游ゴシック"/>
        <color theme="1"/>
        <sz val="10.0"/>
      </rPr>
      <t>...</t>
    </r>
  </si>
  <si>
    <t>バックアップデータの隔離と保護を実施している</t>
  </si>
  <si>
    <r>
      <rPr>
        <rFont val="Noto Sans CJK SC"/>
        <color theme="1"/>
        <sz val="10.0"/>
      </rPr>
      <t>詳細</t>
    </r>
    <r>
      <rPr>
        <rFont val="游ゴシック"/>
        <color theme="1"/>
        <sz val="10.0"/>
      </rPr>
      <t>(checkbox)</t>
    </r>
  </si>
  <si>
    <t>上書き禁止</t>
  </si>
  <si>
    <r>
      <rPr>
        <rFont val="Noto Sans CJK SC"/>
        <color theme="1"/>
        <sz val="10.0"/>
      </rPr>
      <t>詳細</t>
    </r>
    <r>
      <rPr>
        <rFont val="游ゴシック"/>
        <color theme="1"/>
        <sz val="10.0"/>
      </rPr>
      <t>(checkbox)</t>
    </r>
  </si>
  <si>
    <t>遠隔地保管</t>
  </si>
  <si>
    <r>
      <rPr>
        <rFont val="Noto Sans CJK SC"/>
        <color theme="1"/>
        <sz val="10.0"/>
      </rPr>
      <t>詳細</t>
    </r>
    <r>
      <rPr>
        <rFont val="游ゴシック"/>
        <color theme="1"/>
        <sz val="10.0"/>
      </rPr>
      <t>(checkbox)</t>
    </r>
  </si>
  <si>
    <r>
      <rPr>
        <rFont val="Noto Sans CJK SC"/>
        <color theme="1"/>
        <sz val="10.0"/>
      </rPr>
      <t>バックアップやリストアテストについて、該当する選択肢をすべて選択してください。</t>
    </r>
    <r>
      <rPr>
        <rFont val="游ゴシック"/>
        <color theme="1"/>
        <sz val="10.0"/>
      </rPr>
      <t>...</t>
    </r>
  </si>
  <si>
    <t>リストアテストを定期的に実施している</t>
  </si>
  <si>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</si>
  <si>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(freetext)</t>
    </r>
  </si>
  <si>
    <r>
      <rPr>
        <rFont val="Noto Sans CJK SC"/>
        <color theme="1"/>
        <sz val="10.0"/>
      </rPr>
      <t>バックアップやリストアテストについて、該当する選択肢をすべて選択してください。</t>
    </r>
    <r>
      <rPr>
        <rFont val="游ゴシック"/>
        <color theme="1"/>
        <sz val="10.0"/>
      </rPr>
      <t>...</t>
    </r>
  </si>
  <si>
    <r>
      <rPr>
        <rFont val="Noto Sans CJK SC"/>
        <color theme="1"/>
        <sz val="10.0"/>
      </rPr>
      <t>バックアップやリストアテストについて、該当する選択肢をすべて選択してください。</t>
    </r>
    <r>
      <rPr>
        <rFont val="游ゴシック"/>
        <color theme="1"/>
        <sz val="10.0"/>
      </rPr>
      <t>...</t>
    </r>
  </si>
  <si>
    <r>
      <rPr>
        <rFont val="Noto Sans CJK SC"/>
        <color theme="1"/>
        <sz val="10.0"/>
      </rPr>
      <t>取得しているログについて、該当する選択肢をすべて選択してください。</t>
    </r>
    <r>
      <rPr>
        <rFont val="游ゴシック"/>
        <color theme="1"/>
        <sz val="10.0"/>
      </rPr>
      <t>...</t>
    </r>
  </si>
  <si>
    <t>例外処理や誤操作によるエラー、システム障害、セキュリティインシデントに関するイベントログ</t>
  </si>
  <si>
    <r>
      <rPr>
        <rFont val="Noto Sans CJK SC"/>
        <color theme="1"/>
        <sz val="10.0"/>
      </rPr>
      <t>詳細</t>
    </r>
    <r>
      <rPr>
        <rFont val="游ゴシック"/>
        <color theme="1"/>
        <sz val="10.0"/>
      </rPr>
      <t>(checkbox)</t>
    </r>
  </si>
  <si>
    <t>アプリケーションのログ</t>
  </si>
  <si>
    <r>
      <rPr>
        <rFont val="Noto Sans CJK SC"/>
        <color theme="1"/>
        <sz val="10.0"/>
      </rPr>
      <t>詳細</t>
    </r>
    <r>
      <rPr>
        <rFont val="游ゴシック"/>
        <color theme="1"/>
        <sz val="10.0"/>
      </rPr>
      <t>(checkbox)</t>
    </r>
  </si>
  <si>
    <r>
      <rPr>
        <rFont val="Noto Sans CJK SC"/>
        <color theme="1"/>
        <sz val="10.0"/>
      </rPr>
      <t>インフラ（ネットワークや</t>
    </r>
    <r>
      <rPr>
        <rFont val="游ゴシック"/>
        <color theme="1"/>
        <sz val="10.0"/>
      </rPr>
      <t>IaaS</t>
    </r>
    <r>
      <rPr>
        <rFont val="Noto Sans CJK SC"/>
        <color theme="1"/>
        <sz val="10.0"/>
      </rPr>
      <t>環境等）のログ</t>
    </r>
  </si>
  <si>
    <r>
      <rPr>
        <rFont val="Noto Sans CJK SC"/>
        <color theme="1"/>
        <sz val="10.0"/>
      </rPr>
      <t>詳細</t>
    </r>
    <r>
      <rPr>
        <rFont val="游ゴシック"/>
        <color theme="1"/>
        <sz val="10.0"/>
      </rPr>
      <t>(checkbox)</t>
    </r>
  </si>
  <si>
    <r>
      <rPr>
        <rFont val="Noto Sans CJK SC"/>
        <color theme="1"/>
        <sz val="10.0"/>
      </rPr>
      <t>取得しているログについて、該当する選択肢をすべて選択してください。</t>
    </r>
    <r>
      <rPr>
        <rFont val="游ゴシック"/>
        <color theme="1"/>
        <sz val="10.0"/>
      </rPr>
      <t>...</t>
    </r>
  </si>
  <si>
    <t>ユーザーアカウントの認証ログやアクセスログ、操作ログ</t>
  </si>
  <si>
    <r>
      <rPr>
        <rFont val="Noto Sans CJK SC"/>
        <color theme="1"/>
        <sz val="10.0"/>
      </rPr>
      <t>取得しているログについて、該当する選択肢をすべて選択してください。</t>
    </r>
    <r>
      <rPr>
        <rFont val="游ゴシック"/>
        <color theme="1"/>
        <sz val="10.0"/>
      </rPr>
      <t>...</t>
    </r>
  </si>
  <si>
    <t>管理者アカウントの認証ログやアクセスログ、操作ログ</t>
  </si>
  <si>
    <r>
      <rPr>
        <rFont val="Noto Sans CJK SC"/>
        <color theme="1"/>
        <sz val="10.0"/>
      </rPr>
      <t>取得しているログについて、該当する選択肢をすべて選択してください。</t>
    </r>
    <r>
      <rPr>
        <rFont val="游ゴシック"/>
        <color theme="1"/>
        <sz val="10.0"/>
      </rPr>
      <t>...</t>
    </r>
  </si>
  <si>
    <r>
      <rPr>
        <rFont val="Noto Sans CJK SC"/>
        <color theme="1"/>
        <sz val="10.0"/>
      </rPr>
      <t>取得しているログについて、該当する選択肢をすべて選択してください。</t>
    </r>
    <r>
      <rPr>
        <rFont val="游ゴシック"/>
        <color theme="1"/>
        <sz val="10.0"/>
      </rPr>
      <t>...</t>
    </r>
  </si>
  <si>
    <r>
      <rPr>
        <rFont val="Noto Sans CJK SC"/>
        <color theme="1"/>
        <sz val="10.0"/>
      </rPr>
      <t>脆弱性診断やペネトレーションテストについて、該当する選択肢をすべて選択してくださ</t>
    </r>
    <r>
      <rPr>
        <rFont val="游ゴシック"/>
        <color theme="1"/>
        <sz val="10.0"/>
      </rPr>
      <t>...</t>
    </r>
  </si>
  <si>
    <r>
      <rPr>
        <rFont val="Noto Sans CJK SC"/>
        <color theme="1"/>
        <sz val="10.0"/>
      </rPr>
      <t>プラットフォーム（</t>
    </r>
    <r>
      <rPr>
        <rFont val="游ゴシック"/>
        <color theme="1"/>
        <sz val="10.0"/>
      </rPr>
      <t>OS</t>
    </r>
    <r>
      <rPr>
        <rFont val="Noto Sans CJK SC"/>
        <color theme="1"/>
        <sz val="10.0"/>
      </rPr>
      <t>、ミドルウェアやネットワーク）に対する脆弱性診断を実施している</t>
    </r>
  </si>
  <si>
    <r>
      <rPr>
        <rFont val="Noto Sans CJK SC"/>
        <color theme="1"/>
        <sz val="10.0"/>
      </rPr>
      <t>詳細</t>
    </r>
    <r>
      <rPr>
        <rFont val="游ゴシック"/>
        <color theme="1"/>
        <sz val="10.0"/>
      </rPr>
      <t>(checkbox)</t>
    </r>
  </si>
  <si>
    <r>
      <rPr>
        <rFont val="Noto Sans CJK SC"/>
        <color theme="1"/>
        <sz val="10.0"/>
      </rPr>
      <t>プラットフォーム（</t>
    </r>
    <r>
      <rPr>
        <rFont val="游ゴシック"/>
        <color theme="1"/>
        <sz val="10.0"/>
      </rPr>
      <t>OS</t>
    </r>
    <r>
      <rPr>
        <rFont val="Noto Sans CJK SC"/>
        <color theme="1"/>
        <sz val="10.0"/>
      </rPr>
      <t>、ミドルウェアやネットワーク）に対する脆弱性診断を実施している</t>
    </r>
  </si>
  <si>
    <t>定期的に実施</t>
  </si>
  <si>
    <r>
      <rPr>
        <rFont val="Noto Sans CJK SC"/>
        <color theme="1"/>
        <sz val="10.0"/>
      </rPr>
      <t>詳細</t>
    </r>
    <r>
      <rPr>
        <rFont val="游ゴシック"/>
        <color theme="1"/>
        <sz val="10.0"/>
      </rPr>
      <t>(checkbox)</t>
    </r>
  </si>
  <si>
    <r>
      <rPr>
        <rFont val="Noto Sans CJK SC"/>
        <color theme="1"/>
        <sz val="10.0"/>
      </rPr>
      <t>プラットフォーム（</t>
    </r>
    <r>
      <rPr>
        <rFont val="游ゴシック"/>
        <color theme="1"/>
        <sz val="10.0"/>
      </rPr>
      <t>OS</t>
    </r>
    <r>
      <rPr>
        <rFont val="Noto Sans CJK SC"/>
        <color theme="1"/>
        <sz val="10.0"/>
      </rPr>
      <t>、ミドルウェアやネットワーク）に対する脆弱性診断を実施している</t>
    </r>
  </si>
  <si>
    <t>不定期に実施</t>
  </si>
  <si>
    <r>
      <rPr>
        <rFont val="Noto Sans CJK SC"/>
        <color theme="1"/>
        <sz val="10.0"/>
      </rPr>
      <t>詳細</t>
    </r>
    <r>
      <rPr>
        <rFont val="游ゴシック"/>
        <color theme="1"/>
        <sz val="10.0"/>
      </rPr>
      <t>(freetext)</t>
    </r>
  </si>
  <si>
    <r>
      <rPr>
        <rFont val="Noto Sans CJK SC"/>
        <color theme="1"/>
        <sz val="10.0"/>
      </rPr>
      <t>プラットフォーム（</t>
    </r>
    <r>
      <rPr>
        <rFont val="游ゴシック"/>
        <color theme="1"/>
        <sz val="10.0"/>
      </rPr>
      <t>OS</t>
    </r>
    <r>
      <rPr>
        <rFont val="Noto Sans CJK SC"/>
        <color theme="1"/>
        <sz val="10.0"/>
      </rPr>
      <t>、ミドルウェアやネットワーク）に対する脆弱性診断を実施している</t>
    </r>
  </si>
  <si>
    <r>
      <rPr>
        <rFont val="Noto Sans CJK SC"/>
        <color theme="1"/>
        <sz val="10.0"/>
      </rPr>
      <t>脆弱性診断やペネトレーションテストについて、該当する選択肢をすべて選択してくださ</t>
    </r>
    <r>
      <rPr>
        <rFont val="游ゴシック"/>
        <color theme="1"/>
        <sz val="10.0"/>
      </rPr>
      <t>...</t>
    </r>
  </si>
  <si>
    <t>設定診断（セキュリティポスチャーアセスメント）を実施している</t>
  </si>
  <si>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</si>
  <si>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</si>
  <si>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(freetext)</t>
    </r>
  </si>
  <si>
    <r>
      <rPr>
        <rFont val="Noto Sans CJK SC"/>
        <color theme="1"/>
        <sz val="10.0"/>
      </rPr>
      <t>脆弱性診断やペネトレーションテストについて、該当する選択肢をすべて選択してくださ</t>
    </r>
    <r>
      <rPr>
        <rFont val="游ゴシック"/>
        <color theme="1"/>
        <sz val="10.0"/>
      </rPr>
      <t>...</t>
    </r>
  </si>
  <si>
    <t>アプリケーションに対して脆弱性診断を実施している</t>
  </si>
  <si>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</si>
  <si>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</si>
  <si>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(freetext)</t>
    </r>
  </si>
  <si>
    <r>
      <rPr>
        <rFont val="Noto Sans CJK SC"/>
        <color theme="1"/>
        <sz val="10.0"/>
      </rPr>
      <t>詳細</t>
    </r>
    <r>
      <rPr>
        <rFont val="游ゴシック"/>
        <color theme="1"/>
        <sz val="10.0"/>
      </rPr>
      <t>(checkbox)</t>
    </r>
  </si>
  <si>
    <r>
      <rPr>
        <rFont val="游ゴシック"/>
        <color theme="1"/>
        <sz val="10.0"/>
      </rPr>
      <t>Web</t>
    </r>
    <r>
      <rPr>
        <rFont val="Noto Sans CJK SC"/>
        <color theme="1"/>
        <sz val="10.0"/>
      </rPr>
      <t>アプリケーション全体</t>
    </r>
  </si>
  <si>
    <r>
      <rPr>
        <rFont val="Noto Sans CJK SC"/>
        <color theme="1"/>
        <sz val="10.0"/>
      </rPr>
      <t>詳細</t>
    </r>
    <r>
      <rPr>
        <rFont val="游ゴシック"/>
        <color theme="1"/>
        <sz val="10.0"/>
      </rPr>
      <t>(checkbox)</t>
    </r>
  </si>
  <si>
    <r>
      <rPr>
        <rFont val="游ゴシック"/>
        <color theme="1"/>
        <sz val="10.0"/>
      </rPr>
      <t>API</t>
    </r>
    <r>
      <rPr>
        <rFont val="Noto Sans CJK SC"/>
        <color theme="1"/>
        <sz val="10.0"/>
      </rPr>
      <t>、特定機能や画面等に限定</t>
    </r>
  </si>
  <si>
    <r>
      <rPr>
        <rFont val="Noto Sans CJK SC"/>
        <color theme="1"/>
        <sz val="10.0"/>
      </rPr>
      <t>脆弱性診断やペネトレーションテストについて、該当する選択肢をすべて選択してくださ</t>
    </r>
    <r>
      <rPr>
        <rFont val="游ゴシック"/>
        <color theme="1"/>
        <sz val="10.0"/>
      </rPr>
      <t>...</t>
    </r>
  </si>
  <si>
    <t>システムに対して第三者によるペネトレーションテストを実施している</t>
  </si>
  <si>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</si>
  <si>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</si>
  <si>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(freetext)</t>
    </r>
  </si>
  <si>
    <r>
      <rPr>
        <rFont val="Noto Sans CJK SC"/>
        <color theme="1"/>
        <sz val="10.0"/>
      </rPr>
      <t>脆弱性診断やペネトレーションテストについて、該当する選択肢をすべて選択してくださ</t>
    </r>
    <r>
      <rPr>
        <rFont val="游ゴシック"/>
        <color theme="1"/>
        <sz val="10.0"/>
      </rPr>
      <t>...</t>
    </r>
  </si>
  <si>
    <r>
      <rPr>
        <rFont val="Noto Sans CJK SC"/>
        <color theme="1"/>
        <sz val="10.0"/>
      </rPr>
      <t>脆弱性診断やペネトレーションテストについて、該当する選択肢をすべて選択してくださ</t>
    </r>
    <r>
      <rPr>
        <rFont val="游ゴシック"/>
        <color theme="1"/>
        <sz val="10.0"/>
      </rPr>
      <t>...</t>
    </r>
  </si>
  <si>
    <r>
      <rPr>
        <rFont val="Noto Sans CJK SC"/>
        <color theme="1"/>
        <sz val="10.0"/>
      </rPr>
      <t>脆弱性診断やペネトレーションテストについて、該当する選択肢をすべて選択してくださ</t>
    </r>
    <r>
      <rPr>
        <rFont val="游ゴシック"/>
        <color theme="1"/>
        <sz val="10.0"/>
      </rPr>
      <t>...</t>
    </r>
  </si>
  <si>
    <r>
      <rPr>
        <rFont val="Noto Sans CJK SC"/>
        <color theme="1"/>
        <sz val="10.0"/>
      </rPr>
      <t>脆弱性管理について、実施している対策をすべて選択してください。</t>
    </r>
    <r>
      <rPr>
        <rFont val="游ゴシック"/>
        <color theme="1"/>
        <sz val="10.0"/>
      </rPr>
      <t>...</t>
    </r>
  </si>
  <si>
    <t>脆弱性を管理するための方針や手順を文書化している</t>
  </si>
  <si>
    <r>
      <rPr>
        <rFont val="Noto Sans CJK SC"/>
        <color theme="1"/>
        <sz val="10.0"/>
      </rPr>
      <t>脆弱性管理について、実施している対策をすべて選択してください。</t>
    </r>
    <r>
      <rPr>
        <rFont val="游ゴシック"/>
        <color theme="1"/>
        <sz val="10.0"/>
      </rPr>
      <t>...</t>
    </r>
  </si>
  <si>
    <t>脆弱性を管理するための方針や手順を定期的に見直している</t>
  </si>
  <si>
    <r>
      <rPr>
        <rFont val="Noto Sans CJK SC"/>
        <color theme="1"/>
        <sz val="10.0"/>
      </rPr>
      <t>脆弱性管理について、実施している対策をすべて選択してください。</t>
    </r>
    <r>
      <rPr>
        <rFont val="游ゴシック"/>
        <color theme="1"/>
        <sz val="10.0"/>
      </rPr>
      <t>...</t>
    </r>
  </si>
  <si>
    <t>脆弱性の緊急度や自社環境への影響度に応じて、セキュリティパッチやソフトウェアのアップデートを適用している</t>
  </si>
  <si>
    <r>
      <rPr>
        <rFont val="Noto Sans CJK SC"/>
        <color theme="1"/>
        <sz val="10.0"/>
      </rPr>
      <t>脆弱性管理について、実施している対策をすべて選択してください。</t>
    </r>
    <r>
      <rPr>
        <rFont val="游ゴシック"/>
        <color theme="1"/>
        <sz val="10.0"/>
      </rPr>
      <t>...</t>
    </r>
  </si>
  <si>
    <t>（取引元からの要請があった場合）脆弱性の緊急度や自社環境への影響度に応じて、脆弱性の対応状況について取引元へ提供可能である</t>
  </si>
  <si>
    <r>
      <rPr>
        <rFont val="Noto Sans CJK SC"/>
        <color theme="1"/>
        <sz val="10.0"/>
      </rPr>
      <t>脆弱性管理について、実施している対策をすべて選択してください。</t>
    </r>
    <r>
      <rPr>
        <rFont val="游ゴシック"/>
        <color theme="1"/>
        <sz val="10.0"/>
      </rPr>
      <t>...</t>
    </r>
  </si>
  <si>
    <r>
      <rPr>
        <rFont val="Noto Sans CJK SC"/>
        <color theme="1"/>
        <sz val="10.0"/>
      </rPr>
      <t>脆弱性管理について、実施している対策をすべて選択してください。</t>
    </r>
    <r>
      <rPr>
        <rFont val="游ゴシック"/>
        <color theme="1"/>
        <sz val="10.0"/>
      </rPr>
      <t>...</t>
    </r>
  </si>
  <si>
    <r>
      <rPr>
        <rFont val="Noto Sans CJK SC"/>
        <color theme="1"/>
        <sz val="10.0"/>
      </rPr>
      <t>脆弱性管理について、実施している対策をすべて選択してください。</t>
    </r>
    <r>
      <rPr>
        <rFont val="游ゴシック"/>
        <color theme="1"/>
        <sz val="10.0"/>
      </rPr>
      <t>...</t>
    </r>
  </si>
  <si>
    <r>
      <rPr>
        <rFont val="Noto Sans CJK SC"/>
        <color theme="1"/>
        <sz val="10.0"/>
      </rPr>
      <t>構成管理について、実施している対策をすべて選択してください。</t>
    </r>
    <r>
      <rPr>
        <rFont val="游ゴシック"/>
        <color theme="1"/>
        <sz val="10.0"/>
      </rPr>
      <t>...</t>
    </r>
  </si>
  <si>
    <r>
      <rPr>
        <rFont val="Noto Sans CJK SC"/>
        <color theme="1"/>
        <sz val="10.0"/>
      </rPr>
      <t>システムを構成する各コンポーネント（システムの</t>
    </r>
    <r>
      <rPr>
        <rFont val="游ゴシック"/>
        <color theme="1"/>
        <sz val="10.0"/>
      </rPr>
      <t>OS</t>
    </r>
    <r>
      <rPr>
        <rFont val="Noto Sans CJK SC"/>
        <color theme="1"/>
        <sz val="10.0"/>
      </rPr>
      <t>やミドルウェア、ライブラリ、ファームウェア等）を把握、記録するための方針や手順を文書化している</t>
    </r>
  </si>
  <si>
    <r>
      <rPr>
        <rFont val="Noto Sans CJK SC"/>
        <color theme="1"/>
        <sz val="10.0"/>
      </rPr>
      <t>構成管理について、実施している対策をすべて選択してください。</t>
    </r>
    <r>
      <rPr>
        <rFont val="游ゴシック"/>
        <color theme="1"/>
        <sz val="10.0"/>
      </rPr>
      <t>...</t>
    </r>
  </si>
  <si>
    <r>
      <rPr>
        <rFont val="Noto Sans CJK SC"/>
        <color theme="1"/>
        <sz val="10.0"/>
      </rPr>
      <t>システムを構成する各コンポーネント（システムの</t>
    </r>
    <r>
      <rPr>
        <rFont val="游ゴシック"/>
        <color theme="1"/>
        <sz val="10.0"/>
      </rPr>
      <t>OS</t>
    </r>
    <r>
      <rPr>
        <rFont val="Noto Sans CJK SC"/>
        <color theme="1"/>
        <sz val="10.0"/>
      </rPr>
      <t>やミドルウェア、ライブラリ、ファームウェア等）を把握、記録するための方針や手順を定期的に見直している</t>
    </r>
  </si>
  <si>
    <r>
      <rPr>
        <rFont val="Noto Sans CJK SC"/>
        <color theme="1"/>
        <sz val="10.0"/>
      </rPr>
      <t>構成管理について、実施している対策をすべて選択してください。</t>
    </r>
    <r>
      <rPr>
        <rFont val="游ゴシック"/>
        <color theme="1"/>
        <sz val="10.0"/>
      </rPr>
      <t>...</t>
    </r>
  </si>
  <si>
    <r>
      <rPr>
        <rFont val="Noto Sans CJK SC"/>
        <color theme="1"/>
        <sz val="10.0"/>
      </rPr>
      <t>システムを構成する各コンポーネント（システムの</t>
    </r>
    <r>
      <rPr>
        <rFont val="游ゴシック"/>
        <color theme="1"/>
        <sz val="10.0"/>
      </rPr>
      <t>OS</t>
    </r>
    <r>
      <rPr>
        <rFont val="Noto Sans CJK SC"/>
        <color theme="1"/>
        <sz val="10.0"/>
      </rPr>
      <t>やミドルウェア、ライブラリ、ファームウェア等）の</t>
    </r>
    <r>
      <rPr>
        <rFont val="游ゴシック"/>
        <color theme="1"/>
        <sz val="10.0"/>
      </rPr>
      <t>EOL,EOS, EOA</t>
    </r>
    <r>
      <rPr>
        <rFont val="Noto Sans CJK SC"/>
        <color theme="1"/>
        <sz val="10.0"/>
      </rPr>
      <t>に関する情報や自社環境への影響度に応じて、対応（バージョンアップ、延長サポートの締結、予備機購入等）を実施している</t>
    </r>
  </si>
  <si>
    <r>
      <rPr>
        <rFont val="Noto Sans CJK SC"/>
        <color theme="1"/>
        <sz val="10.0"/>
      </rPr>
      <t>構成管理について、実施している対策をすべて選択してください。</t>
    </r>
    <r>
      <rPr>
        <rFont val="游ゴシック"/>
        <color theme="1"/>
        <sz val="10.0"/>
      </rPr>
      <t>...</t>
    </r>
  </si>
  <si>
    <r>
      <rPr>
        <rFont val="Noto Sans CJK SC"/>
        <color theme="1"/>
        <sz val="10.0"/>
      </rPr>
      <t>構成管理について、実施している対策をすべて選択してください。</t>
    </r>
    <r>
      <rPr>
        <rFont val="游ゴシック"/>
        <color theme="1"/>
        <sz val="10.0"/>
      </rPr>
      <t>...</t>
    </r>
  </si>
  <si>
    <r>
      <rPr>
        <rFont val="Noto Sans CJK SC"/>
        <color theme="1"/>
        <sz val="10.0"/>
      </rPr>
      <t>構成管理について、実施している対策をすべて選択してください。</t>
    </r>
    <r>
      <rPr>
        <rFont val="游ゴシック"/>
        <color theme="1"/>
        <sz val="10.0"/>
      </rPr>
      <t>...</t>
    </r>
  </si>
  <si>
    <r>
      <rPr>
        <rFont val="Noto Sans CJK SC"/>
        <color theme="1"/>
        <sz val="10.0"/>
      </rPr>
      <t>サーバにおけるマルウェア対策について、実施している対策をすべて選択してください。</t>
    </r>
    <r>
      <rPr>
        <rFont val="游ゴシック"/>
        <color theme="1"/>
        <sz val="10.0"/>
      </rPr>
      <t>...</t>
    </r>
  </si>
  <si>
    <r>
      <rPr>
        <rFont val="Noto Sans CJK SC"/>
        <color theme="1"/>
        <sz val="10.0"/>
      </rPr>
      <t>サーバにおけるマルウェア対策について、実施している対策をすべて選択してください。</t>
    </r>
    <r>
      <rPr>
        <rFont val="游ゴシック"/>
        <color theme="1"/>
        <sz val="10.0"/>
      </rPr>
      <t>...</t>
    </r>
  </si>
  <si>
    <r>
      <rPr>
        <rFont val="Noto Sans CJK SC"/>
        <color theme="1"/>
        <sz val="10.0"/>
      </rPr>
      <t>未知のマルウェア対策として、</t>
    </r>
    <r>
      <rPr>
        <rFont val="游ゴシック"/>
        <color theme="1"/>
        <sz val="10.0"/>
      </rPr>
      <t>EDR</t>
    </r>
    <r>
      <rPr>
        <rFont val="Noto Sans CJK SC"/>
        <color theme="1"/>
        <sz val="10.0"/>
      </rPr>
      <t>製品や振る舞い検知を行う製品を導入している</t>
    </r>
  </si>
  <si>
    <r>
      <rPr>
        <rFont val="Noto Sans CJK SC"/>
        <color theme="1"/>
        <sz val="10.0"/>
      </rPr>
      <t>サーバにおけるマルウェア対策について、実施している対策をすべて選択してください。</t>
    </r>
    <r>
      <rPr>
        <rFont val="游ゴシック"/>
        <color theme="1"/>
        <sz val="10.0"/>
      </rPr>
      <t>...</t>
    </r>
  </si>
  <si>
    <r>
      <rPr>
        <rFont val="Noto Sans CJK SC"/>
        <color theme="1"/>
        <sz val="10.0"/>
      </rPr>
      <t>サーバにおけるマルウェア対策について、実施している対策をすべて選択してください。</t>
    </r>
    <r>
      <rPr>
        <rFont val="游ゴシック"/>
        <color theme="1"/>
        <sz val="10.0"/>
      </rPr>
      <t>...</t>
    </r>
  </si>
  <si>
    <r>
      <rPr>
        <rFont val="Noto Sans CJK SC"/>
        <color theme="1"/>
        <sz val="10.0"/>
      </rPr>
      <t>サーバにおけるマルウェア対策について、実施している対策をすべて選択してください。</t>
    </r>
    <r>
      <rPr>
        <rFont val="游ゴシック"/>
        <color theme="1"/>
        <sz val="10.0"/>
      </rPr>
      <t>...</t>
    </r>
  </si>
  <si>
    <r>
      <rPr>
        <rFont val="Noto Sans CJK SC"/>
        <color theme="1"/>
        <sz val="10.0"/>
      </rPr>
      <t>各システムで実施している監視について、該当する選択肢をすべて選択してください。</t>
    </r>
    <r>
      <rPr>
        <rFont val="游ゴシック"/>
        <color theme="1"/>
        <sz val="10.0"/>
      </rPr>
      <t>...</t>
    </r>
  </si>
  <si>
    <t>サーバおよびネットワークに対するパフォーマンス監視</t>
  </si>
  <si>
    <r>
      <rPr>
        <rFont val="Noto Sans CJK SC"/>
        <color theme="1"/>
        <sz val="10.0"/>
      </rPr>
      <t>各システムで実施している監視について、該当する選択肢をすべて選択してください。</t>
    </r>
    <r>
      <rPr>
        <rFont val="游ゴシック"/>
        <color theme="1"/>
        <sz val="10.0"/>
      </rPr>
      <t>...</t>
    </r>
  </si>
  <si>
    <t>サーバやネットワーク機器の死活や障害監視、外形監視（運用監視）</t>
  </si>
  <si>
    <r>
      <rPr>
        <rFont val="Noto Sans CJK SC"/>
        <color theme="1"/>
        <sz val="10.0"/>
      </rPr>
      <t>各システムで実施している監視について、該当する選択肢をすべて選択してください。</t>
    </r>
    <r>
      <rPr>
        <rFont val="游ゴシック"/>
        <color theme="1"/>
        <sz val="10.0"/>
      </rPr>
      <t>...</t>
    </r>
  </si>
  <si>
    <t>内部および外部からの不正アクセスや不正利用の監視</t>
  </si>
  <si>
    <r>
      <rPr>
        <rFont val="Noto Sans CJK SC"/>
        <color theme="1"/>
        <sz val="10.0"/>
      </rPr>
      <t>各システムで実施している監視について、該当する選択肢をすべて選択してください。</t>
    </r>
    <r>
      <rPr>
        <rFont val="游ゴシック"/>
        <color theme="1"/>
        <sz val="10.0"/>
      </rPr>
      <t>...</t>
    </r>
  </si>
  <si>
    <t>脅威インテリジェンス（サイバー攻撃の兆候等）の活用</t>
  </si>
  <si>
    <r>
      <rPr>
        <rFont val="Noto Sans CJK SC"/>
        <color theme="1"/>
        <sz val="10.0"/>
      </rPr>
      <t>各システムで実施している監視について、該当する選択肢をすべて選択してください。</t>
    </r>
    <r>
      <rPr>
        <rFont val="游ゴシック"/>
        <color theme="1"/>
        <sz val="10.0"/>
      </rPr>
      <t>...</t>
    </r>
  </si>
  <si>
    <t>ソフトウェアのインストール、インターネットアクセスなど社内ルール違反等の挙動監視</t>
  </si>
  <si>
    <r>
      <rPr>
        <rFont val="Noto Sans CJK SC"/>
        <color theme="1"/>
        <sz val="10.0"/>
      </rPr>
      <t>各システムで実施している監視について、該当する選択肢をすべて選択してください。</t>
    </r>
    <r>
      <rPr>
        <rFont val="游ゴシック"/>
        <color theme="1"/>
        <sz val="10.0"/>
      </rPr>
      <t>...</t>
    </r>
  </si>
  <si>
    <t>サーバへのリモートアクセスやシステムの環境、管理画面等へのアクセスの監視</t>
  </si>
  <si>
    <r>
      <rPr>
        <rFont val="Noto Sans CJK SC"/>
        <color theme="1"/>
        <sz val="10.0"/>
      </rPr>
      <t>各システムで実施している監視について、該当する選択肢をすべて選択してください。</t>
    </r>
    <r>
      <rPr>
        <rFont val="游ゴシック"/>
        <color theme="1"/>
        <sz val="10.0"/>
      </rPr>
      <t>...</t>
    </r>
  </si>
  <si>
    <t>監視基準（アラート閾値や緊急度の判定基準等）を定期的に見直している</t>
  </si>
  <si>
    <r>
      <rPr>
        <rFont val="Noto Sans CJK SC"/>
        <color theme="1"/>
        <sz val="10.0"/>
      </rPr>
      <t>各システムで実施している監視について、該当する選択肢をすべて選択してください。</t>
    </r>
    <r>
      <rPr>
        <rFont val="游ゴシック"/>
        <color theme="1"/>
        <sz val="10.0"/>
      </rPr>
      <t>...</t>
    </r>
  </si>
  <si>
    <r>
      <rPr>
        <rFont val="Noto Sans CJK SC"/>
        <color theme="1"/>
        <sz val="10.0"/>
      </rPr>
      <t>各システムで実施している監視について、該当する選択肢をすべて選択してください。</t>
    </r>
    <r>
      <rPr>
        <rFont val="游ゴシック"/>
        <color theme="1"/>
        <sz val="10.0"/>
      </rPr>
      <t>...</t>
    </r>
  </si>
  <si>
    <r>
      <rPr>
        <rFont val="Noto Sans CJK SC"/>
        <color theme="1"/>
        <sz val="10.0"/>
      </rPr>
      <t>ネットワークアクセス制御（通信の許可・遮断）について、実施していることをすべて選</t>
    </r>
    <r>
      <rPr>
        <rFont val="游ゴシック"/>
        <color theme="1"/>
        <sz val="10.0"/>
      </rPr>
      <t>...</t>
    </r>
  </si>
  <si>
    <t>外部・インターネットとのネットワーク境界を定め、ファイアウォールや類似の機能により通信を制御している</t>
  </si>
  <si>
    <r>
      <rPr>
        <rFont val="Noto Sans CJK SC"/>
        <color theme="1"/>
        <sz val="10.0"/>
      </rPr>
      <t>ネットワークアクセス制御（通信の許可・遮断）について、実施していることをすべて選</t>
    </r>
    <r>
      <rPr>
        <rFont val="游ゴシック"/>
        <color theme="1"/>
        <sz val="10.0"/>
      </rPr>
      <t>...</t>
    </r>
  </si>
  <si>
    <t>内部でのネットワーク境界を定め、セグメント間の通信を制御している</t>
  </si>
  <si>
    <r>
      <rPr>
        <rFont val="Noto Sans CJK SC"/>
        <color theme="1"/>
        <sz val="10.0"/>
      </rPr>
      <t>詳細</t>
    </r>
    <r>
      <rPr>
        <rFont val="游ゴシック"/>
        <color theme="1"/>
        <sz val="10.0"/>
      </rPr>
      <t>(checkbox)</t>
    </r>
  </si>
  <si>
    <t>本番環境と開発・テスト環境の分離</t>
  </si>
  <si>
    <r>
      <rPr>
        <rFont val="Noto Sans CJK SC"/>
        <color theme="1"/>
        <sz val="10.0"/>
      </rPr>
      <t>詳細</t>
    </r>
    <r>
      <rPr>
        <rFont val="游ゴシック"/>
        <color theme="1"/>
        <sz val="10.0"/>
      </rPr>
      <t>(checkbox)</t>
    </r>
  </si>
  <si>
    <r>
      <rPr>
        <rFont val="Noto Sans CJK SC"/>
        <color theme="1"/>
        <sz val="10.0"/>
      </rPr>
      <t>業務システムと</t>
    </r>
    <r>
      <rPr>
        <rFont val="游ゴシック"/>
        <color theme="1"/>
        <sz val="10.0"/>
      </rPr>
      <t>OA</t>
    </r>
    <r>
      <rPr>
        <rFont val="Noto Sans CJK SC"/>
        <color theme="1"/>
        <sz val="10.0"/>
      </rPr>
      <t>システムの分離</t>
    </r>
  </si>
  <si>
    <r>
      <rPr>
        <rFont val="Noto Sans CJK SC"/>
        <color theme="1"/>
        <sz val="10.0"/>
      </rPr>
      <t>詳細</t>
    </r>
    <r>
      <rPr>
        <rFont val="游ゴシック"/>
        <color theme="1"/>
        <sz val="10.0"/>
      </rPr>
      <t>(checkbox)</t>
    </r>
  </si>
  <si>
    <t>異なる業務システム間の分離</t>
  </si>
  <si>
    <r>
      <rPr>
        <rFont val="Noto Sans CJK SC"/>
        <color theme="1"/>
        <sz val="10.0"/>
      </rPr>
      <t>詳細</t>
    </r>
    <r>
      <rPr>
        <rFont val="游ゴシック"/>
        <color theme="1"/>
        <sz val="10.0"/>
      </rPr>
      <t>(checkbox)</t>
    </r>
  </si>
  <si>
    <t>サービス通信と管理通信の分離（管理用セグメントの設置）</t>
  </si>
  <si>
    <r>
      <rPr>
        <rFont val="Noto Sans CJK SC"/>
        <color theme="1"/>
        <sz val="10.0"/>
      </rPr>
      <t>詳細</t>
    </r>
    <r>
      <rPr>
        <rFont val="游ゴシック"/>
        <color theme="1"/>
        <sz val="10.0"/>
      </rPr>
      <t>(checkbox)</t>
    </r>
  </si>
  <si>
    <r>
      <rPr>
        <rFont val="Noto Sans CJK SC"/>
        <color theme="1"/>
        <sz val="10.0"/>
      </rPr>
      <t>ネットワークアクセス制御（通信の許可・遮断）について、実施していることをすべて選</t>
    </r>
    <r>
      <rPr>
        <rFont val="游ゴシック"/>
        <color theme="1"/>
        <sz val="10.0"/>
      </rPr>
      <t>...</t>
    </r>
  </si>
  <si>
    <t>高度なネットワーク分離（マイクロセグメンテーション）を行っている</t>
  </si>
  <si>
    <r>
      <rPr>
        <rFont val="Noto Sans CJK SC"/>
        <color theme="1"/>
        <sz val="10.0"/>
      </rPr>
      <t>ネットワークアクセス制御（通信の許可・遮断）について、実施していることをすべて選</t>
    </r>
    <r>
      <rPr>
        <rFont val="游ゴシック"/>
        <color theme="1"/>
        <sz val="10.0"/>
      </rPr>
      <t>...</t>
    </r>
  </si>
  <si>
    <r>
      <rPr>
        <rFont val="Noto Sans CJK SC"/>
        <color theme="1"/>
        <sz val="10.0"/>
      </rPr>
      <t>年に</t>
    </r>
    <r>
      <rPr>
        <rFont val="游ゴシック"/>
        <color theme="1"/>
        <sz val="10.0"/>
      </rPr>
      <t>1</t>
    </r>
    <r>
      <rPr>
        <rFont val="Noto Sans CJK SC"/>
        <color theme="1"/>
        <sz val="10.0"/>
      </rPr>
      <t>回以上、ネットワークアクセス制御に関する設定を見直している</t>
    </r>
  </si>
  <si>
    <r>
      <rPr>
        <rFont val="Noto Sans CJK SC"/>
        <color theme="1"/>
        <sz val="10.0"/>
      </rPr>
      <t>詳細</t>
    </r>
    <r>
      <rPr>
        <rFont val="游ゴシック"/>
        <color theme="1"/>
        <sz val="10.0"/>
      </rPr>
      <t>(checkbox)</t>
    </r>
  </si>
  <si>
    <r>
      <rPr>
        <rFont val="Noto Sans CJK SC"/>
        <color theme="1"/>
        <sz val="10.0"/>
      </rPr>
      <t>年に</t>
    </r>
    <r>
      <rPr>
        <rFont val="游ゴシック"/>
        <color theme="1"/>
        <sz val="10.0"/>
      </rPr>
      <t>1</t>
    </r>
    <r>
      <rPr>
        <rFont val="Noto Sans CJK SC"/>
        <color theme="1"/>
        <sz val="10.0"/>
      </rPr>
      <t>回以上、ネットワークアクセス制御に関する設定を見直している</t>
    </r>
  </si>
  <si>
    <t>外部・インターネット境界の通信制御ルールや、動的ルール設定のポリシーを見直している</t>
  </si>
  <si>
    <r>
      <rPr>
        <rFont val="Noto Sans CJK SC"/>
        <color theme="1"/>
        <sz val="10.0"/>
      </rPr>
      <t>詳細</t>
    </r>
    <r>
      <rPr>
        <rFont val="游ゴシック"/>
        <color theme="1"/>
        <sz val="10.0"/>
      </rPr>
      <t>(checkbox)</t>
    </r>
  </si>
  <si>
    <r>
      <rPr>
        <rFont val="Noto Sans CJK SC"/>
        <color theme="1"/>
        <sz val="10.0"/>
      </rPr>
      <t>年に</t>
    </r>
    <r>
      <rPr>
        <rFont val="游ゴシック"/>
        <color theme="1"/>
        <sz val="10.0"/>
      </rPr>
      <t>1</t>
    </r>
    <r>
      <rPr>
        <rFont val="Noto Sans CJK SC"/>
        <color theme="1"/>
        <sz val="10.0"/>
      </rPr>
      <t>回以上、ネットワークアクセス制御に関する設定を見直している</t>
    </r>
  </si>
  <si>
    <t>内部のネットワーク境界（マイクロセグメンテーション含む）の通信制御ルールや、動的ルール設定のポリシーを見直している</t>
  </si>
  <si>
    <r>
      <rPr>
        <rFont val="Noto Sans CJK SC"/>
        <color theme="1"/>
        <sz val="10.0"/>
      </rPr>
      <t>ネットワークアクセス制御（通信の許可・遮断）について、実施していることをすべて選</t>
    </r>
    <r>
      <rPr>
        <rFont val="游ゴシック"/>
        <color theme="1"/>
        <sz val="10.0"/>
      </rPr>
      <t>...</t>
    </r>
  </si>
  <si>
    <r>
      <rPr>
        <rFont val="Noto Sans CJK SC"/>
        <color theme="1"/>
        <sz val="10.0"/>
      </rPr>
      <t>ネットワークアクセス制御（通信の許可・遮断）について、実施していることをすべて選</t>
    </r>
    <r>
      <rPr>
        <rFont val="游ゴシック"/>
        <color theme="1"/>
        <sz val="10.0"/>
      </rPr>
      <t>...</t>
    </r>
  </si>
  <si>
    <r>
      <rPr>
        <rFont val="Noto Sans CJK SC"/>
        <color theme="1"/>
        <sz val="10.0"/>
      </rPr>
      <t>ネットワークアクセス制御（通信の許可・遮断）について、実施していることをすべて選</t>
    </r>
    <r>
      <rPr>
        <rFont val="游ゴシック"/>
        <color theme="1"/>
        <sz val="10.0"/>
      </rPr>
      <t>...</t>
    </r>
  </si>
  <si>
    <r>
      <rPr>
        <rFont val="Noto Sans CJK SC"/>
        <color theme="1"/>
        <sz val="10.0"/>
      </rPr>
      <t>データフローおよびネットワーク構成の管理について、実施していることをすべて選択し</t>
    </r>
    <r>
      <rPr>
        <rFont val="游ゴシック"/>
        <color theme="1"/>
        <sz val="10.0"/>
      </rPr>
      <t>...</t>
    </r>
  </si>
  <si>
    <t>データフロー図やネットワーク図を作成している</t>
  </si>
  <si>
    <r>
      <rPr>
        <rFont val="Noto Sans CJK SC"/>
        <color theme="1"/>
        <sz val="10.0"/>
      </rPr>
      <t>データフローおよびネットワーク構成の管理について、実施していることをすべて選択し</t>
    </r>
    <r>
      <rPr>
        <rFont val="游ゴシック"/>
        <color theme="1"/>
        <sz val="10.0"/>
      </rPr>
      <t>...</t>
    </r>
  </si>
  <si>
    <t>データフロー図やネットワーク図を定期的に見直している</t>
  </si>
  <si>
    <r>
      <rPr>
        <rFont val="Noto Sans CJK SC"/>
        <color theme="1"/>
        <sz val="10.0"/>
      </rPr>
      <t>データフローおよびネットワーク構成の管理について、実施していることをすべて選択し</t>
    </r>
    <r>
      <rPr>
        <rFont val="游ゴシック"/>
        <color theme="1"/>
        <sz val="10.0"/>
      </rPr>
      <t>...</t>
    </r>
  </si>
  <si>
    <r>
      <rPr>
        <rFont val="Noto Sans CJK SC"/>
        <color theme="1"/>
        <sz val="10.0"/>
      </rPr>
      <t>データフローおよびネットワーク構成の管理について、実施していることをすべて選択し</t>
    </r>
    <r>
      <rPr>
        <rFont val="游ゴシック"/>
        <color theme="1"/>
        <sz val="10.0"/>
      </rPr>
      <t>...</t>
    </r>
  </si>
  <si>
    <r>
      <rPr>
        <rFont val="Noto Sans CJK SC"/>
        <color theme="1"/>
        <sz val="10.0"/>
      </rPr>
      <t>利用する業務アプリケーションのうち、インターネット公開しているシステムはあります</t>
    </r>
    <r>
      <rPr>
        <rFont val="游ゴシック"/>
        <color theme="1"/>
        <sz val="10.0"/>
      </rPr>
      <t>...</t>
    </r>
  </si>
  <si>
    <r>
      <rPr>
        <rFont val="Noto Sans CJK SC"/>
        <color theme="1"/>
        <sz val="10.0"/>
      </rPr>
      <t>利用する業務アプリケーションのうち、インターネット公開しているシステムはあります</t>
    </r>
    <r>
      <rPr>
        <rFont val="游ゴシック"/>
        <color theme="1"/>
        <sz val="10.0"/>
      </rPr>
      <t>...</t>
    </r>
  </si>
  <si>
    <r>
      <rPr>
        <rFont val="Noto Sans CJK SC"/>
        <color theme="1"/>
        <sz val="10.0"/>
      </rPr>
      <t>利用する業務アプリケーションのうち、インターネット公開しているシステムはあります</t>
    </r>
    <r>
      <rPr>
        <rFont val="游ゴシック"/>
        <color theme="1"/>
        <sz val="10.0"/>
      </rPr>
      <t>...</t>
    </r>
  </si>
  <si>
    <r>
      <rPr>
        <rFont val="Noto Sans CJK SC"/>
        <color theme="1"/>
        <sz val="10.0"/>
      </rPr>
      <t>インターネット公開しているシステムのネットワークセキュリティ対策について、採用し</t>
    </r>
    <r>
      <rPr>
        <rFont val="游ゴシック"/>
        <color theme="1"/>
        <sz val="10.0"/>
      </rPr>
      <t>...</t>
    </r>
  </si>
  <si>
    <r>
      <rPr>
        <rFont val="游ゴシック"/>
        <color theme="1"/>
        <sz val="10.0"/>
      </rPr>
      <t>IPS</t>
    </r>
    <r>
      <rPr>
        <rFont val="Noto Sans CJK SC"/>
        <color theme="1"/>
        <sz val="10.0"/>
      </rPr>
      <t>または</t>
    </r>
    <r>
      <rPr>
        <rFont val="游ゴシック"/>
        <color theme="1"/>
        <sz val="10.0"/>
      </rPr>
      <t>IDS</t>
    </r>
    <r>
      <rPr>
        <rFont val="Noto Sans CJK SC"/>
        <color theme="1"/>
        <sz val="10.0"/>
      </rPr>
      <t>もしくは類似の機能</t>
    </r>
  </si>
  <si>
    <r>
      <rPr>
        <rFont val="Noto Sans CJK SC"/>
        <color theme="1"/>
        <sz val="10.0"/>
      </rPr>
      <t>インターネット公開しているシステムのネットワークセキュリティ対策について、採用し</t>
    </r>
    <r>
      <rPr>
        <rFont val="游ゴシック"/>
        <color theme="1"/>
        <sz val="10.0"/>
      </rPr>
      <t>...</t>
    </r>
  </si>
  <si>
    <t>WAF</t>
  </si>
  <si>
    <r>
      <rPr>
        <rFont val="Noto Sans CJK SC"/>
        <color theme="1"/>
        <sz val="10.0"/>
      </rPr>
      <t>インターネット公開しているシステムのネットワークセキュリティ対策について、採用し</t>
    </r>
    <r>
      <rPr>
        <rFont val="游ゴシック"/>
        <color theme="1"/>
        <sz val="10.0"/>
      </rPr>
      <t>...</t>
    </r>
  </si>
  <si>
    <r>
      <rPr>
        <rFont val="游ゴシック"/>
        <color theme="1"/>
        <sz val="10.0"/>
      </rPr>
      <t>DDoS</t>
    </r>
    <r>
      <rPr>
        <rFont val="Noto Sans CJK SC"/>
        <color theme="1"/>
        <sz val="10.0"/>
      </rPr>
      <t>攻撃対策</t>
    </r>
  </si>
  <si>
    <r>
      <rPr>
        <rFont val="Noto Sans CJK SC"/>
        <color theme="1"/>
        <sz val="10.0"/>
      </rPr>
      <t>インターネット公開しているシステムのネットワークセキュリティ対策について、採用し</t>
    </r>
    <r>
      <rPr>
        <rFont val="游ゴシック"/>
        <color theme="1"/>
        <sz val="10.0"/>
      </rPr>
      <t>...</t>
    </r>
  </si>
  <si>
    <r>
      <rPr>
        <rFont val="Noto Sans CJK SC"/>
        <color theme="1"/>
        <sz val="10.0"/>
      </rPr>
      <t>インターネット公開しているシステムのネットワークセキュリティ対策について、採用し</t>
    </r>
    <r>
      <rPr>
        <rFont val="游ゴシック"/>
        <color theme="1"/>
        <sz val="10.0"/>
      </rPr>
      <t>...</t>
    </r>
  </si>
  <si>
    <r>
      <rPr>
        <rFont val="Noto Sans CJK SC"/>
        <color theme="1"/>
        <sz val="10.0"/>
      </rPr>
      <t>インターネット公開しているシステムの通信の暗号化について、実施していることをすべ</t>
    </r>
    <r>
      <rPr>
        <rFont val="游ゴシック"/>
        <color theme="1"/>
        <sz val="10.0"/>
      </rPr>
      <t>...</t>
    </r>
  </si>
  <si>
    <t>サービスへのアクセス時の通信を暗号化している</t>
  </si>
  <si>
    <r>
      <rPr>
        <rFont val="Noto Sans CJK SC"/>
        <color theme="1"/>
        <sz val="10.0"/>
      </rPr>
      <t>インターネット公開しているシステムの通信の暗号化について、実施していることをすべ</t>
    </r>
    <r>
      <rPr>
        <rFont val="游ゴシック"/>
        <color theme="1"/>
        <sz val="10.0"/>
      </rPr>
      <t>...</t>
    </r>
  </si>
  <si>
    <t>安全なプロトコルのバージョンのみを使用して暗号化している</t>
  </si>
  <si>
    <r>
      <rPr>
        <rFont val="Noto Sans CJK SC"/>
        <color theme="1"/>
        <sz val="10.0"/>
      </rPr>
      <t>インターネット公開しているシステムの通信の暗号化について、実施していることをすべ</t>
    </r>
    <r>
      <rPr>
        <rFont val="游ゴシック"/>
        <color theme="1"/>
        <sz val="10.0"/>
      </rPr>
      <t>...</t>
    </r>
  </si>
  <si>
    <t>安全な暗号アルゴリズムと十分な鍵長の組み合わせのみを利用している</t>
  </si>
  <si>
    <r>
      <rPr>
        <rFont val="Noto Sans CJK SC"/>
        <color theme="1"/>
        <sz val="10.0"/>
      </rPr>
      <t>インターネット公開しているシステムの通信の暗号化について、実施していることをすべ</t>
    </r>
    <r>
      <rPr>
        <rFont val="游ゴシック"/>
        <color theme="1"/>
        <sz val="10.0"/>
      </rPr>
      <t>...</t>
    </r>
  </si>
  <si>
    <t>有効期限が切れていない、信頼できる認証局が発行したサーバ証明書を利用している</t>
  </si>
  <si>
    <r>
      <rPr>
        <rFont val="Noto Sans CJK SC"/>
        <color theme="1"/>
        <sz val="10.0"/>
      </rPr>
      <t>インターネット公開しているシステムの通信の暗号化について、実施していることをすべ</t>
    </r>
    <r>
      <rPr>
        <rFont val="游ゴシック"/>
        <color theme="1"/>
        <sz val="10.0"/>
      </rPr>
      <t>...</t>
    </r>
  </si>
  <si>
    <r>
      <rPr>
        <rFont val="Noto Sans CJK SC"/>
        <color theme="1"/>
        <sz val="10.0"/>
      </rPr>
      <t>インターネット公開しているシステムの通信の暗号化について、実施していることをすべ</t>
    </r>
    <r>
      <rPr>
        <rFont val="游ゴシック"/>
        <color theme="1"/>
        <sz val="10.0"/>
      </rPr>
      <t>...</t>
    </r>
  </si>
  <si>
    <r>
      <rPr>
        <rFont val="Noto Sans CJK SC"/>
        <color theme="1"/>
        <sz val="10.0"/>
      </rPr>
      <t>リモートメンテナンスを許可していますか。</t>
    </r>
    <r>
      <rPr>
        <rFont val="游ゴシック"/>
        <color theme="1"/>
        <sz val="10.0"/>
      </rPr>
      <t>...</t>
    </r>
  </si>
  <si>
    <r>
      <rPr>
        <rFont val="Noto Sans CJK SC"/>
        <color theme="1"/>
        <sz val="10.0"/>
      </rPr>
      <t>リモートメンテナンスを許可していますか。</t>
    </r>
    <r>
      <rPr>
        <rFont val="游ゴシック"/>
        <color theme="1"/>
        <sz val="10.0"/>
      </rPr>
      <t>...</t>
    </r>
  </si>
  <si>
    <r>
      <rPr>
        <rFont val="Noto Sans CJK SC"/>
        <color theme="1"/>
        <sz val="10.0"/>
      </rPr>
      <t>リモートメンテナンスを許可していますか。</t>
    </r>
    <r>
      <rPr>
        <rFont val="游ゴシック"/>
        <color theme="1"/>
        <sz val="10.0"/>
      </rPr>
      <t>...</t>
    </r>
  </si>
  <si>
    <r>
      <rPr>
        <rFont val="Noto Sans CJK SC"/>
        <color theme="1"/>
        <sz val="10.0"/>
      </rPr>
      <t>リモートメンテナンスに対するセキュリティ対策について、実施していることをすべて選</t>
    </r>
    <r>
      <rPr>
        <rFont val="游ゴシック"/>
        <color theme="1"/>
        <sz val="10.0"/>
      </rPr>
      <t>...</t>
    </r>
  </si>
  <si>
    <t>リモートアクセスを経由したときのアクセス先の限定</t>
  </si>
  <si>
    <r>
      <rPr>
        <rFont val="Noto Sans CJK SC"/>
        <color theme="1"/>
        <sz val="10.0"/>
      </rPr>
      <t>リモートメンテナンスに対するセキュリティ対策について、実施していることをすべて選</t>
    </r>
    <r>
      <rPr>
        <rFont val="游ゴシック"/>
        <color theme="1"/>
        <sz val="10.0"/>
      </rPr>
      <t>...</t>
    </r>
  </si>
  <si>
    <r>
      <rPr>
        <rFont val="Noto Sans CJK SC"/>
        <color theme="1"/>
        <sz val="10.0"/>
      </rPr>
      <t>リモートメンテナンスに対するセキュリティ対策について、実施していることをすべて選</t>
    </r>
    <r>
      <rPr>
        <rFont val="游ゴシック"/>
        <color theme="1"/>
        <sz val="10.0"/>
      </rPr>
      <t>...</t>
    </r>
  </si>
  <si>
    <t>多要素認証やコールバックによる接続認証</t>
  </si>
  <si>
    <r>
      <rPr>
        <rFont val="Noto Sans CJK SC"/>
        <color theme="1"/>
        <sz val="10.0"/>
      </rPr>
      <t>リモートメンテナンスに対するセキュリティ対策について、実施していることをすべて選</t>
    </r>
    <r>
      <rPr>
        <rFont val="游ゴシック"/>
        <color theme="1"/>
        <sz val="10.0"/>
      </rPr>
      <t>...</t>
    </r>
  </si>
  <si>
    <t>接続元デバイスの設定やバージョン情報等の確認（デバイスポスチャ）</t>
  </si>
  <si>
    <r>
      <rPr>
        <rFont val="Noto Sans CJK SC"/>
        <color theme="1"/>
        <sz val="10.0"/>
      </rPr>
      <t>リモートメンテナンスに対するセキュリティ対策について、実施していることをすべて選</t>
    </r>
    <r>
      <rPr>
        <rFont val="游ゴシック"/>
        <color theme="1"/>
        <sz val="10.0"/>
      </rPr>
      <t>...</t>
    </r>
  </si>
  <si>
    <t>通信暗号化</t>
  </si>
  <si>
    <r>
      <rPr>
        <rFont val="Noto Sans CJK SC"/>
        <color theme="1"/>
        <sz val="10.0"/>
      </rPr>
      <t>リモートメンテナンスに対するセキュリティ対策について、実施していることをすべて選</t>
    </r>
    <r>
      <rPr>
        <rFont val="游ゴシック"/>
        <color theme="1"/>
        <sz val="10.0"/>
      </rPr>
      <t>...</t>
    </r>
  </si>
  <si>
    <t>リモートアクセスに対する監視</t>
  </si>
  <si>
    <r>
      <rPr>
        <rFont val="Noto Sans CJK SC"/>
        <color theme="1"/>
        <sz val="10.0"/>
      </rPr>
      <t>リモートメンテナンスに対するセキュリティ対策について、実施していることをすべて選</t>
    </r>
    <r>
      <rPr>
        <rFont val="游ゴシック"/>
        <color theme="1"/>
        <sz val="10.0"/>
      </rPr>
      <t>...</t>
    </r>
  </si>
  <si>
    <r>
      <rPr>
        <rFont val="Noto Sans CJK SC"/>
        <color theme="1"/>
        <sz val="10.0"/>
      </rPr>
      <t>リモートメンテナンスに対するセキュリティ対策について、実施していることをすべて選</t>
    </r>
    <r>
      <rPr>
        <rFont val="游ゴシック"/>
        <color theme="1"/>
        <sz val="10.0"/>
      </rPr>
      <t>...</t>
    </r>
  </si>
  <si>
    <r>
      <rPr>
        <rFont val="Noto Sans CJK SC"/>
        <color theme="1"/>
        <sz val="10.0"/>
      </rPr>
      <t>リモートメンテナンスに対するセキュリティ対策について、実施していることをすべて選</t>
    </r>
    <r>
      <rPr>
        <rFont val="游ゴシック"/>
        <color theme="1"/>
        <sz val="10.0"/>
      </rPr>
      <t>...</t>
    </r>
  </si>
  <si>
    <r>
      <rPr>
        <rFont val="Noto Sans CJK SC"/>
        <color theme="1"/>
        <sz val="10.0"/>
      </rPr>
      <t>システムの取得、開発および保守におけるルールやプロセスを定めていますか。</t>
    </r>
    <r>
      <rPr>
        <rFont val="游ゴシック"/>
        <color theme="1"/>
        <sz val="10.0"/>
      </rPr>
      <t>...</t>
    </r>
  </si>
  <si>
    <r>
      <rPr>
        <rFont val="Noto Sans CJK SC"/>
        <color theme="1"/>
        <sz val="10.0"/>
      </rPr>
      <t>システムの取得、開発および保守におけるルールやプロセスを定めていますか。</t>
    </r>
    <r>
      <rPr>
        <rFont val="游ゴシック"/>
        <color theme="1"/>
        <sz val="10.0"/>
      </rPr>
      <t>...</t>
    </r>
  </si>
  <si>
    <r>
      <rPr>
        <rFont val="Noto Sans CJK SC"/>
        <color theme="1"/>
        <sz val="10.0"/>
      </rPr>
      <t>システムの取得、開発および保守におけるルールやプロセスを定めていますか。</t>
    </r>
    <r>
      <rPr>
        <rFont val="游ゴシック"/>
        <color theme="1"/>
        <sz val="10.0"/>
      </rPr>
      <t>...</t>
    </r>
  </si>
  <si>
    <r>
      <rPr>
        <rFont val="Noto Sans CJK SC"/>
        <color theme="1"/>
        <sz val="10.0"/>
      </rPr>
      <t>システムの取得、開発および保守において、実施していることをすべて選択してください</t>
    </r>
    <r>
      <rPr>
        <rFont val="游ゴシック"/>
        <color theme="1"/>
        <sz val="10.0"/>
      </rPr>
      <t>...</t>
    </r>
  </si>
  <si>
    <t>コーディング規約などを定め、セキュアコーディングを実施している</t>
  </si>
  <si>
    <r>
      <rPr>
        <rFont val="Noto Sans CJK SC"/>
        <color theme="1"/>
        <sz val="10.0"/>
      </rPr>
      <t>システムの取得、開発および保守において、実施していることをすべて選択してください</t>
    </r>
    <r>
      <rPr>
        <rFont val="游ゴシック"/>
        <color theme="1"/>
        <sz val="10.0"/>
      </rPr>
      <t>...</t>
    </r>
  </si>
  <si>
    <t>ソースコードのレビューをしている</t>
  </si>
  <si>
    <r>
      <rPr>
        <rFont val="Noto Sans CJK SC"/>
        <color theme="1"/>
        <sz val="10.0"/>
      </rPr>
      <t>詳細</t>
    </r>
    <r>
      <rPr>
        <rFont val="游ゴシック"/>
        <color theme="1"/>
        <sz val="10.0"/>
      </rPr>
      <t>(checkbox)</t>
    </r>
  </si>
  <si>
    <t>人による確認</t>
  </si>
  <si>
    <r>
      <rPr>
        <rFont val="Noto Sans CJK SC"/>
        <color theme="1"/>
        <sz val="10.0"/>
      </rPr>
      <t>詳細</t>
    </r>
    <r>
      <rPr>
        <rFont val="游ゴシック"/>
        <color theme="1"/>
        <sz val="10.0"/>
      </rPr>
      <t>(checkbox)</t>
    </r>
  </si>
  <si>
    <r>
      <rPr>
        <rFont val="游ゴシック"/>
        <color theme="1"/>
        <sz val="10.0"/>
      </rPr>
      <t>SAST</t>
    </r>
    <r>
      <rPr>
        <rFont val="Noto Sans CJK SC"/>
        <color theme="1"/>
        <sz val="10.0"/>
      </rPr>
      <t>などのツールを用いた自動検証</t>
    </r>
  </si>
  <si>
    <r>
      <rPr>
        <rFont val="Noto Sans CJK SC"/>
        <color theme="1"/>
        <sz val="10.0"/>
      </rPr>
      <t>システムの取得、開発および保守において、実施していることをすべて選択してください</t>
    </r>
    <r>
      <rPr>
        <rFont val="游ゴシック"/>
        <color theme="1"/>
        <sz val="10.0"/>
      </rPr>
      <t>...</t>
    </r>
  </si>
  <si>
    <r>
      <rPr>
        <rFont val="Noto Sans CJK SC"/>
        <color theme="1"/>
        <sz val="10.0"/>
      </rPr>
      <t>システムで利用している</t>
    </r>
    <r>
      <rPr>
        <rFont val="游ゴシック"/>
        <color theme="1"/>
        <sz val="10.0"/>
      </rPr>
      <t>OSS</t>
    </r>
    <r>
      <rPr>
        <rFont val="Noto Sans CJK SC"/>
        <color theme="1"/>
        <sz val="10.0"/>
      </rPr>
      <t>を把握している</t>
    </r>
  </si>
  <si>
    <r>
      <rPr>
        <rFont val="Noto Sans CJK SC"/>
        <color theme="1"/>
        <sz val="10.0"/>
      </rPr>
      <t>システムの取得、開発および保守において、実施していることをすべて選択してください</t>
    </r>
    <r>
      <rPr>
        <rFont val="游ゴシック"/>
        <color theme="1"/>
        <sz val="10.0"/>
      </rPr>
      <t>...</t>
    </r>
  </si>
  <si>
    <r>
      <rPr>
        <rFont val="Noto Sans CJK SC"/>
        <color theme="1"/>
        <sz val="10.0"/>
      </rPr>
      <t>システムの取得、開発および保守において、実施していることをすべて選択してください</t>
    </r>
    <r>
      <rPr>
        <rFont val="游ゴシック"/>
        <color theme="1"/>
        <sz val="10.0"/>
      </rPr>
      <t>...</t>
    </r>
  </si>
  <si>
    <r>
      <rPr>
        <rFont val="Noto Sans CJK SC"/>
        <color theme="1"/>
        <sz val="10.0"/>
      </rPr>
      <t>システムの取得、開発および保守において、実施していることをすべて選択してください</t>
    </r>
    <r>
      <rPr>
        <rFont val="游ゴシック"/>
        <color theme="1"/>
        <sz val="10.0"/>
      </rPr>
      <t>...</t>
    </r>
  </si>
  <si>
    <r>
      <rPr>
        <rFont val="Noto Sans CJK SC"/>
        <color theme="1"/>
        <sz val="10.0"/>
      </rPr>
      <t>自然災害や大規模なシステム障害、セキュリティインシデントに備えてリカバリ計画およ</t>
    </r>
    <r>
      <rPr>
        <rFont val="游ゴシック"/>
        <color theme="1"/>
        <sz val="10.0"/>
      </rPr>
      <t>...</t>
    </r>
  </si>
  <si>
    <t>リカバリ計画およびコンティンジェンシープランを策定している</t>
  </si>
  <si>
    <r>
      <rPr>
        <rFont val="Noto Sans CJK SC"/>
        <color theme="1"/>
        <sz val="10.0"/>
      </rPr>
      <t>自然災害や大規模なシステム障害、セキュリティインシデントに備えてリカバリ計画およ</t>
    </r>
    <r>
      <rPr>
        <rFont val="游ゴシック"/>
        <color theme="1"/>
        <sz val="10.0"/>
      </rPr>
      <t>...</t>
    </r>
  </si>
  <si>
    <t>リカバリ計画およびコンティンジェンシープランを定期的に見直している</t>
  </si>
  <si>
    <r>
      <rPr>
        <rFont val="Noto Sans CJK SC"/>
        <color theme="1"/>
        <sz val="10.0"/>
      </rPr>
      <t>自然災害や大規模なシステム障害、セキュリティインシデントに備えてリカバリ計画およ</t>
    </r>
    <r>
      <rPr>
        <rFont val="游ゴシック"/>
        <color theme="1"/>
        <sz val="10.0"/>
      </rPr>
      <t>...</t>
    </r>
  </si>
  <si>
    <t>リカバリ計画およびコンティンジェンシープランの実現性を確認するための訓練を定期的に実施している</t>
  </si>
  <si>
    <r>
      <rPr>
        <rFont val="Noto Sans CJK SC"/>
        <color theme="1"/>
        <sz val="10.0"/>
      </rPr>
      <t>詳細</t>
    </r>
    <r>
      <rPr>
        <rFont val="游ゴシック"/>
        <color theme="1"/>
        <sz val="10.0"/>
      </rPr>
      <t>(checkbox)</t>
    </r>
  </si>
  <si>
    <t>実機訓練の実施</t>
  </si>
  <si>
    <r>
      <rPr>
        <rFont val="Noto Sans CJK SC"/>
        <color theme="1"/>
        <sz val="10.0"/>
      </rPr>
      <t>詳細</t>
    </r>
    <r>
      <rPr>
        <rFont val="游ゴシック"/>
        <color theme="1"/>
        <sz val="10.0"/>
      </rPr>
      <t>(checkbox)</t>
    </r>
  </si>
  <si>
    <t>机上訓練の実施</t>
  </si>
  <si>
    <r>
      <rPr>
        <rFont val="Noto Sans CJK SC"/>
        <color theme="1"/>
        <sz val="10.0"/>
      </rPr>
      <t>詳細</t>
    </r>
    <r>
      <rPr>
        <rFont val="游ゴシック"/>
        <color theme="1"/>
        <sz val="10.0"/>
      </rPr>
      <t>(checkbox)</t>
    </r>
  </si>
  <si>
    <t>情報セキュリティ管理の責任者の訓練への参加</t>
  </si>
  <si>
    <r>
      <rPr>
        <rFont val="Noto Sans CJK SC"/>
        <color theme="1"/>
        <sz val="10.0"/>
      </rPr>
      <t>自然災害や大規模なシステム障害、セキュリティインシデントに備えてリカバリ計画およ</t>
    </r>
    <r>
      <rPr>
        <rFont val="游ゴシック"/>
        <color theme="1"/>
        <sz val="10.0"/>
      </rPr>
      <t>...</t>
    </r>
  </si>
  <si>
    <t>（取引元からの要請があった場合、かつ、契約に該当する内容がある場合に）取引元の演習・訓練に参加している</t>
  </si>
  <si>
    <r>
      <rPr>
        <rFont val="Noto Sans CJK SC"/>
        <color theme="1"/>
        <sz val="10.0"/>
      </rPr>
      <t>自然災害や大規模なシステム障害、セキュリティインシデントに備えてリカバリ計画およ</t>
    </r>
    <r>
      <rPr>
        <rFont val="游ゴシック"/>
        <color theme="1"/>
        <sz val="10.0"/>
      </rPr>
      <t>...</t>
    </r>
  </si>
  <si>
    <r>
      <rPr>
        <rFont val="Noto Sans CJK SC"/>
        <color theme="1"/>
        <sz val="10.0"/>
      </rPr>
      <t>自然災害や大規模なシステム障害、セキュリティインシデントに備えてリカバリ計画およ</t>
    </r>
    <r>
      <rPr>
        <rFont val="游ゴシック"/>
        <color theme="1"/>
        <sz val="10.0"/>
      </rPr>
      <t>...</t>
    </r>
  </si>
  <si>
    <r>
      <rPr>
        <rFont val="Noto Sans CJK SC"/>
        <color theme="1"/>
        <sz val="10.0"/>
      </rPr>
      <t>自然災害や大規模なシステム障害、セキュリティインシデントに対応するため、冗長性を</t>
    </r>
    <r>
      <rPr>
        <rFont val="游ゴシック"/>
        <color theme="1"/>
        <sz val="10.0"/>
      </rPr>
      <t>...</t>
    </r>
  </si>
  <si>
    <t>国や地域に跨って冗長化されたシステム構成となっている（例：マルチリージョンや遠隔地のデータセンター利用）</t>
  </si>
  <si>
    <r>
      <rPr>
        <rFont val="Noto Sans CJK SC"/>
        <color theme="1"/>
        <sz val="10.0"/>
      </rPr>
      <t>自然災害や大規模なシステム障害、セキュリティインシデントに対応するため、冗長性を</t>
    </r>
    <r>
      <rPr>
        <rFont val="游ゴシック"/>
        <color theme="1"/>
        <sz val="10.0"/>
      </rPr>
      <t>...</t>
    </r>
  </si>
  <si>
    <r>
      <rPr>
        <rFont val="Noto Sans CJK SC"/>
        <color theme="1"/>
        <sz val="10.0"/>
      </rPr>
      <t>同一地域内の複数拠点に跨って冗長化されたシステム構成となっている（例：マルチ</t>
    </r>
    <r>
      <rPr>
        <rFont val="游ゴシック"/>
        <color theme="1"/>
        <sz val="10.0"/>
      </rPr>
      <t>AZ</t>
    </r>
    <r>
      <rPr>
        <rFont val="Noto Sans CJK SC"/>
        <color theme="1"/>
        <sz val="10.0"/>
      </rPr>
      <t>や近郊データセンターの利用）</t>
    </r>
  </si>
  <si>
    <r>
      <rPr>
        <rFont val="Noto Sans CJK SC"/>
        <color theme="1"/>
        <sz val="10.0"/>
      </rPr>
      <t>自然災害や大規模なシステム障害、セキュリティインシデントに対応するため、冗長性を</t>
    </r>
    <r>
      <rPr>
        <rFont val="游ゴシック"/>
        <color theme="1"/>
        <sz val="10.0"/>
      </rPr>
      <t>...</t>
    </r>
  </si>
  <si>
    <r>
      <rPr>
        <rFont val="Noto Sans CJK SC"/>
        <color theme="1"/>
        <sz val="10.0"/>
      </rPr>
      <t>単一拠点内で冗長化されたシステム構成になっている（例：シングル</t>
    </r>
    <r>
      <rPr>
        <rFont val="游ゴシック"/>
        <color theme="1"/>
        <sz val="10.0"/>
      </rPr>
      <t>AZ</t>
    </r>
    <r>
      <rPr>
        <rFont val="Noto Sans CJK SC"/>
        <color theme="1"/>
        <sz val="10.0"/>
      </rPr>
      <t>や同一データセンター内でのサーバ冗長化）</t>
    </r>
  </si>
  <si>
    <r>
      <rPr>
        <rFont val="Noto Sans CJK SC"/>
        <color theme="1"/>
        <sz val="10.0"/>
      </rPr>
      <t>自然災害や大規模なシステム障害、セキュリティインシデントに対応するため、冗長性を</t>
    </r>
    <r>
      <rPr>
        <rFont val="游ゴシック"/>
        <color theme="1"/>
        <sz val="10.0"/>
      </rPr>
      <t>...</t>
    </r>
  </si>
  <si>
    <r>
      <rPr>
        <rFont val="Noto Sans CJK SC"/>
        <color theme="1"/>
        <sz val="10.0"/>
      </rPr>
      <t>自然災害や大規模なシステム障害、セキュリティインシデントに対応するため、冗長性を</t>
    </r>
    <r>
      <rPr>
        <rFont val="游ゴシック"/>
        <color theme="1"/>
        <sz val="10.0"/>
      </rPr>
      <t>...</t>
    </r>
  </si>
  <si>
    <r>
      <rPr>
        <rFont val="Noto Sans CJK SC"/>
        <color theme="1"/>
        <sz val="10.0"/>
      </rPr>
      <t>外部委託先や外部サービスの選定および管理について、方針や体制を整備していますか。</t>
    </r>
    <r>
      <rPr>
        <rFont val="游ゴシック"/>
        <color theme="1"/>
        <sz val="10.0"/>
      </rPr>
      <t>...</t>
    </r>
  </si>
  <si>
    <t>外部委託先や外部サービスのセキュリティリスク管理に関する方針や規定を策定している</t>
  </si>
  <si>
    <r>
      <rPr>
        <rFont val="Noto Sans CJK SC"/>
        <color theme="1"/>
        <sz val="10.0"/>
      </rPr>
      <t>外部委託先や外部サービスの選定および管理について、方針や体制を整備していますか。</t>
    </r>
    <r>
      <rPr>
        <rFont val="游ゴシック"/>
        <color theme="1"/>
        <sz val="10.0"/>
      </rPr>
      <t>...</t>
    </r>
  </si>
  <si>
    <t>外部委託先や外部サービスを把握し、定期的に情報を更新する仕組みがある</t>
  </si>
  <si>
    <r>
      <rPr>
        <rFont val="Noto Sans CJK SC"/>
        <color theme="1"/>
        <sz val="10.0"/>
      </rPr>
      <t>詳細</t>
    </r>
    <r>
      <rPr>
        <rFont val="游ゴシック"/>
        <color theme="1"/>
        <sz val="10.0"/>
      </rPr>
      <t>(checkbox)</t>
    </r>
  </si>
  <si>
    <t>外部委託先や外部サービスのセキュリティリスク管理を行う体制が整備（管理部署の設置や、関係部署間の連携を含めた各部署の役割及び責任の明確化）されている</t>
  </si>
  <si>
    <r>
      <rPr>
        <rFont val="Noto Sans CJK SC"/>
        <color theme="1"/>
        <sz val="10.0"/>
      </rPr>
      <t>詳細</t>
    </r>
    <r>
      <rPr>
        <rFont val="游ゴシック"/>
        <color theme="1"/>
        <sz val="10.0"/>
      </rPr>
      <t>(checkbox)</t>
    </r>
  </si>
  <si>
    <t>外部委託先や外部サービスを把握するための台帳等を作成し、管理対象を把握している</t>
  </si>
  <si>
    <r>
      <rPr>
        <rFont val="Noto Sans CJK SC"/>
        <color theme="1"/>
        <sz val="10.0"/>
      </rPr>
      <t>詳細</t>
    </r>
    <r>
      <rPr>
        <rFont val="游ゴシック"/>
        <color theme="1"/>
        <sz val="10.0"/>
      </rPr>
      <t>(checkbox)</t>
    </r>
  </si>
  <si>
    <r>
      <rPr>
        <rFont val="Noto Sans CJK SC"/>
        <color theme="1"/>
        <sz val="10.0"/>
      </rPr>
      <t>外部委託先や外部サービスの選定および管理について、方針や体制を整備していますか。</t>
    </r>
    <r>
      <rPr>
        <rFont val="游ゴシック"/>
        <color theme="1"/>
        <sz val="10.0"/>
      </rPr>
      <t>...</t>
    </r>
  </si>
  <si>
    <t>外部委託先や外部サービスを把握するための台帳等を、定期的に棚卸している</t>
  </si>
  <si>
    <r>
      <rPr>
        <rFont val="Noto Sans CJK SC"/>
        <color theme="1"/>
        <sz val="10.0"/>
      </rPr>
      <t>外部委託先や外部サービスの選定および管理について、方針や体制を整備していますか。</t>
    </r>
    <r>
      <rPr>
        <rFont val="游ゴシック"/>
        <color theme="1"/>
        <sz val="10.0"/>
      </rPr>
      <t>...</t>
    </r>
  </si>
  <si>
    <t>外部委託先や外部サービスとセキュリティ対応に関する要求事項を合意し、文書化している</t>
  </si>
  <si>
    <r>
      <rPr>
        <rFont val="Noto Sans CJK SC"/>
        <color theme="1"/>
        <sz val="10.0"/>
      </rPr>
      <t>外部委託先や外部サービスの選定および管理について、方針や体制を整備していますか。</t>
    </r>
    <r>
      <rPr>
        <rFont val="游ゴシック"/>
        <color theme="1"/>
        <sz val="10.0"/>
      </rPr>
      <t>...</t>
    </r>
  </si>
  <si>
    <r>
      <rPr>
        <rFont val="Noto Sans CJK SC"/>
        <color theme="1"/>
        <sz val="10.0"/>
      </rPr>
      <t>外部委託先や外部サービスの選定および管理について、方針や体制を整備していますか。</t>
    </r>
    <r>
      <rPr>
        <rFont val="游ゴシック"/>
        <color theme="1"/>
        <sz val="10.0"/>
      </rPr>
      <t>...</t>
    </r>
  </si>
  <si>
    <r>
      <rPr>
        <rFont val="Noto Sans CJK SC"/>
        <color theme="1"/>
        <sz val="10.0"/>
      </rPr>
      <t>外部委託先や外部サービスに対する要求事項として合意事項をすべて選定してください。</t>
    </r>
    <r>
      <rPr>
        <rFont val="游ゴシック"/>
        <color theme="1"/>
        <sz val="10.0"/>
      </rPr>
      <t>...</t>
    </r>
  </si>
  <si>
    <t>実施すべきセキュリティ対策や脆弱性診断</t>
  </si>
  <si>
    <r>
      <rPr>
        <rFont val="Noto Sans CJK SC"/>
        <color theme="1"/>
        <sz val="10.0"/>
      </rPr>
      <t>外部委託先や外部サービスに対する要求事項として合意事項をすべて選定してください。</t>
    </r>
    <r>
      <rPr>
        <rFont val="游ゴシック"/>
        <color theme="1"/>
        <sz val="10.0"/>
      </rPr>
      <t>...</t>
    </r>
  </si>
  <si>
    <t>セキュリティインシデント発生時の報告や対処</t>
  </si>
  <si>
    <r>
      <rPr>
        <rFont val="Noto Sans CJK SC"/>
        <color theme="1"/>
        <sz val="10.0"/>
      </rPr>
      <t>外部委託先や外部サービスに対する要求事項として合意事項をすべて選定してください。</t>
    </r>
    <r>
      <rPr>
        <rFont val="游ゴシック"/>
        <color theme="1"/>
        <sz val="10.0"/>
      </rPr>
      <t>...</t>
    </r>
  </si>
  <si>
    <t>セキュリティ教育や研修の実施</t>
  </si>
  <si>
    <r>
      <rPr>
        <rFont val="Noto Sans CJK SC"/>
        <color theme="1"/>
        <sz val="10.0"/>
      </rPr>
      <t>外部委託先や外部サービスに対する要求事項として合意事項をすべて選定してください。</t>
    </r>
    <r>
      <rPr>
        <rFont val="游ゴシック"/>
        <color theme="1"/>
        <sz val="10.0"/>
      </rPr>
      <t>...</t>
    </r>
  </si>
  <si>
    <t>関連法令の遵守</t>
  </si>
  <si>
    <r>
      <rPr>
        <rFont val="Noto Sans CJK SC"/>
        <color theme="1"/>
        <sz val="10.0"/>
      </rPr>
      <t>外部委託先や外部サービスに対する要求事項として合意事項をすべて選定してください。</t>
    </r>
    <r>
      <rPr>
        <rFont val="游ゴシック"/>
        <color theme="1"/>
        <sz val="10.0"/>
      </rPr>
      <t>...</t>
    </r>
  </si>
  <si>
    <t>監査権</t>
  </si>
  <si>
    <r>
      <rPr>
        <rFont val="Noto Sans CJK SC"/>
        <color theme="1"/>
        <sz val="10.0"/>
      </rPr>
      <t>外部委託先や外部サービスに対する要求事項として合意事項をすべて選定してください。</t>
    </r>
    <r>
      <rPr>
        <rFont val="游ゴシック"/>
        <color theme="1"/>
        <sz val="10.0"/>
      </rPr>
      <t>...</t>
    </r>
  </si>
  <si>
    <t>サービスレベル</t>
  </si>
  <si>
    <r>
      <rPr>
        <rFont val="Noto Sans CJK SC"/>
        <color theme="1"/>
        <sz val="10.0"/>
      </rPr>
      <t>外部委託先や外部サービスに対する要求事項として合意事項をすべて選定してください。</t>
    </r>
    <r>
      <rPr>
        <rFont val="游ゴシック"/>
        <color theme="1"/>
        <sz val="10.0"/>
      </rPr>
      <t>...</t>
    </r>
  </si>
  <si>
    <t>機密情報の保護（秘密保持契約の締結等）</t>
  </si>
  <si>
    <r>
      <rPr>
        <rFont val="Noto Sans CJK SC"/>
        <color theme="1"/>
        <sz val="10.0"/>
      </rPr>
      <t>外部委託先や外部サービスに対する要求事項として合意事項をすべて選定してください。</t>
    </r>
    <r>
      <rPr>
        <rFont val="游ゴシック"/>
        <color theme="1"/>
        <sz val="10.0"/>
      </rPr>
      <t>...</t>
    </r>
  </si>
  <si>
    <r>
      <rPr>
        <rFont val="Noto Sans CJK SC"/>
        <color theme="1"/>
        <sz val="10.0"/>
      </rPr>
      <t>外部委託先や外部サービスに対する要求事項として合意事項をすべて選定してください。</t>
    </r>
    <r>
      <rPr>
        <rFont val="游ゴシック"/>
        <color theme="1"/>
        <sz val="10.0"/>
      </rPr>
      <t>...</t>
    </r>
  </si>
  <si>
    <r>
      <rPr>
        <rFont val="Noto Sans CJK SC"/>
        <color theme="1"/>
        <sz val="10.0"/>
      </rPr>
      <t>外部委託先や外部サービスに対する要求事項として合意事項をすべて選定してください。</t>
    </r>
    <r>
      <rPr>
        <rFont val="游ゴシック"/>
        <color theme="1"/>
        <sz val="10.0"/>
      </rPr>
      <t>...</t>
    </r>
  </si>
  <si>
    <r>
      <rPr>
        <rFont val="Noto Sans CJK SC"/>
        <color theme="1"/>
        <sz val="10.0"/>
      </rPr>
      <t>外部委託先や外部サービスとの合意内容が履行されているか確認していますか。</t>
    </r>
    <r>
      <rPr>
        <rFont val="游ゴシック"/>
        <color theme="1"/>
        <sz val="10.0"/>
      </rPr>
      <t>...</t>
    </r>
  </si>
  <si>
    <t>確認している</t>
  </si>
  <si>
    <r>
      <rPr>
        <rFont val="Noto Sans CJK SC"/>
        <color theme="1"/>
        <sz val="10.0"/>
      </rPr>
      <t>詳細</t>
    </r>
    <r>
      <rPr>
        <rFont val="游ゴシック"/>
        <color theme="1"/>
        <sz val="10.0"/>
      </rPr>
      <t>(checkbox)</t>
    </r>
  </si>
  <si>
    <t>契約事項について履行状況の報告を受けている</t>
  </si>
  <si>
    <r>
      <rPr>
        <rFont val="Noto Sans CJK SC"/>
        <color theme="1"/>
        <sz val="10.0"/>
      </rPr>
      <t>詳細</t>
    </r>
    <r>
      <rPr>
        <rFont val="游ゴシック"/>
        <color theme="1"/>
        <sz val="10.0"/>
      </rPr>
      <t>(checkbox)</t>
    </r>
  </si>
  <si>
    <t>契約事項について履行状況の確認や監査を実施している</t>
  </si>
  <si>
    <r>
      <rPr>
        <rFont val="Noto Sans CJK SC"/>
        <color theme="1"/>
        <sz val="10.0"/>
      </rPr>
      <t>詳細</t>
    </r>
    <r>
      <rPr>
        <rFont val="游ゴシック"/>
        <color theme="1"/>
        <sz val="10.0"/>
      </rPr>
      <t>(checkbox)</t>
    </r>
  </si>
  <si>
    <t>契約事項やサービス仕様が変更された場合に、自社への影響を確認している</t>
  </si>
  <si>
    <r>
      <rPr>
        <rFont val="Noto Sans CJK SC"/>
        <color theme="1"/>
        <sz val="10.0"/>
      </rPr>
      <t>詳細</t>
    </r>
    <r>
      <rPr>
        <rFont val="游ゴシック"/>
        <color theme="1"/>
        <sz val="10.0"/>
      </rPr>
      <t>(checkbox)</t>
    </r>
  </si>
  <si>
    <r>
      <rPr>
        <rFont val="Noto Sans CJK SC"/>
        <color theme="1"/>
        <sz val="10.0"/>
      </rPr>
      <t>外部委託先や外部サービスとの合意内容が履行されているか確認していますか。</t>
    </r>
    <r>
      <rPr>
        <rFont val="游ゴシック"/>
        <color theme="1"/>
        <sz val="10.0"/>
      </rPr>
      <t>...</t>
    </r>
  </si>
  <si>
    <r>
      <rPr>
        <rFont val="Noto Sans CJK SC"/>
        <color theme="1"/>
        <sz val="10.0"/>
      </rPr>
      <t>外部委託先や外部サービスとの合意内容が履行されているか確認していますか。</t>
    </r>
    <r>
      <rPr>
        <rFont val="游ゴシック"/>
        <color theme="1"/>
        <sz val="10.0"/>
      </rPr>
      <t>...</t>
    </r>
  </si>
  <si>
    <r>
      <rPr>
        <rFont val="Noto Sans CJK SC"/>
        <color theme="1"/>
        <sz val="10.0"/>
      </rPr>
      <t>外部委託先や外部サービスに対してセキュリティリスク評価を実施していますか。</t>
    </r>
    <r>
      <rPr>
        <rFont val="游ゴシック"/>
        <color theme="1"/>
        <sz val="10.0"/>
      </rPr>
      <t>...</t>
    </r>
  </si>
  <si>
    <t>取引開始前にリスク評価を実施している</t>
  </si>
  <si>
    <r>
      <rPr>
        <rFont val="Noto Sans CJK SC"/>
        <color theme="1"/>
        <sz val="10.0"/>
      </rPr>
      <t>詳細</t>
    </r>
    <r>
      <rPr>
        <rFont val="游ゴシック"/>
        <color theme="1"/>
        <sz val="10.0"/>
      </rPr>
      <t>(checkbox)</t>
    </r>
  </si>
  <si>
    <r>
      <rPr>
        <rFont val="Noto Sans CJK SC"/>
        <color theme="1"/>
        <sz val="10.0"/>
      </rPr>
      <t>外部認証（</t>
    </r>
    <r>
      <rPr>
        <rFont val="游ゴシック"/>
        <color theme="1"/>
        <sz val="10.0"/>
      </rPr>
      <t>ISO27001</t>
    </r>
    <r>
      <rPr>
        <rFont val="Noto Sans CJK SC"/>
        <color theme="1"/>
        <sz val="10.0"/>
      </rPr>
      <t>や</t>
    </r>
    <r>
      <rPr>
        <rFont val="游ゴシック"/>
        <color theme="1"/>
        <sz val="10.0"/>
      </rPr>
      <t>SOC2</t>
    </r>
    <r>
      <rPr>
        <rFont val="Noto Sans CJK SC"/>
        <color theme="1"/>
        <sz val="10.0"/>
      </rPr>
      <t>など）の有無</t>
    </r>
  </si>
  <si>
    <r>
      <rPr>
        <rFont val="Noto Sans CJK SC"/>
        <color theme="1"/>
        <sz val="10.0"/>
      </rPr>
      <t>詳細</t>
    </r>
    <r>
      <rPr>
        <rFont val="游ゴシック"/>
        <color theme="1"/>
        <sz val="10.0"/>
      </rPr>
      <t>(checkbox)</t>
    </r>
  </si>
  <si>
    <t>セキュリティ水準</t>
  </si>
  <si>
    <r>
      <rPr>
        <rFont val="Noto Sans CJK SC"/>
        <color theme="1"/>
        <sz val="10.0"/>
      </rPr>
      <t>詳細</t>
    </r>
    <r>
      <rPr>
        <rFont val="游ゴシック"/>
        <color theme="1"/>
        <sz val="10.0"/>
      </rPr>
      <t>(checkbox)</t>
    </r>
  </si>
  <si>
    <t>契約終了時のデータの取扱い</t>
  </si>
  <si>
    <r>
      <rPr>
        <rFont val="Noto Sans CJK SC"/>
        <color theme="1"/>
        <sz val="10.0"/>
      </rPr>
      <t>詳細</t>
    </r>
    <r>
      <rPr>
        <rFont val="游ゴシック"/>
        <color theme="1"/>
        <sz val="10.0"/>
      </rPr>
      <t>(checkbox)</t>
    </r>
  </si>
  <si>
    <t>インシデント対応計画、コンティンジェンシープラン</t>
  </si>
  <si>
    <r>
      <rPr>
        <rFont val="Noto Sans CJK SC"/>
        <color theme="1"/>
        <sz val="10.0"/>
      </rPr>
      <t>詳細</t>
    </r>
    <r>
      <rPr>
        <rFont val="游ゴシック"/>
        <color theme="1"/>
        <sz val="10.0"/>
      </rPr>
      <t>(checkbox)</t>
    </r>
  </si>
  <si>
    <t>過去のインシデントの発生・対応状況</t>
  </si>
  <si>
    <r>
      <rPr>
        <rFont val="Noto Sans CJK SC"/>
        <color theme="1"/>
        <sz val="10.0"/>
      </rPr>
      <t>詳細</t>
    </r>
    <r>
      <rPr>
        <rFont val="游ゴシック"/>
        <color theme="1"/>
        <sz val="10.0"/>
      </rPr>
      <t>(checkbox)</t>
    </r>
  </si>
  <si>
    <r>
      <rPr>
        <rFont val="Noto Sans CJK SC"/>
        <color theme="1"/>
        <sz val="10.0"/>
      </rPr>
      <t>外部委託先や外部サービスに対してセキュリティリスク評価を実施していますか。</t>
    </r>
    <r>
      <rPr>
        <rFont val="游ゴシック"/>
        <color theme="1"/>
        <sz val="10.0"/>
      </rPr>
      <t>...</t>
    </r>
  </si>
  <si>
    <t>定期的にリスク評価を実施している</t>
  </si>
  <si>
    <r>
      <rPr>
        <rFont val="Noto Sans CJK SC"/>
        <color theme="1"/>
        <sz val="10.0"/>
      </rPr>
      <t>詳細</t>
    </r>
    <r>
      <rPr>
        <rFont val="游ゴシック"/>
        <color theme="1"/>
        <sz val="10.0"/>
      </rPr>
      <t>(freetext)</t>
    </r>
  </si>
  <si>
    <t>評価頻度</t>
  </si>
  <si>
    <r>
      <rPr>
        <rFont val="Noto Sans CJK SC"/>
        <color theme="1"/>
        <sz val="10.0"/>
      </rPr>
      <t>詳細</t>
    </r>
    <r>
      <rPr>
        <rFont val="游ゴシック"/>
        <color theme="1"/>
        <sz val="10.0"/>
      </rPr>
      <t>(checkbox)</t>
    </r>
  </si>
  <si>
    <r>
      <rPr>
        <rFont val="Noto Sans CJK SC"/>
        <color theme="1"/>
        <sz val="10.0"/>
      </rPr>
      <t>外部認証（</t>
    </r>
    <r>
      <rPr>
        <rFont val="游ゴシック"/>
        <color theme="1"/>
        <sz val="10.0"/>
      </rPr>
      <t>ISO27001</t>
    </r>
    <r>
      <rPr>
        <rFont val="Noto Sans CJK SC"/>
        <color theme="1"/>
        <sz val="10.0"/>
      </rPr>
      <t>や</t>
    </r>
    <r>
      <rPr>
        <rFont val="游ゴシック"/>
        <color theme="1"/>
        <sz val="10.0"/>
      </rPr>
      <t>SOC2</t>
    </r>
    <r>
      <rPr>
        <rFont val="Noto Sans CJK SC"/>
        <color theme="1"/>
        <sz val="10.0"/>
      </rPr>
      <t>など）の有無</t>
    </r>
  </si>
  <si>
    <r>
      <rPr>
        <rFont val="Noto Sans CJK SC"/>
        <color theme="1"/>
        <sz val="10.0"/>
      </rPr>
      <t>詳細</t>
    </r>
    <r>
      <rPr>
        <rFont val="游ゴシック"/>
        <color theme="1"/>
        <sz val="10.0"/>
      </rPr>
      <t>(checkbox)</t>
    </r>
  </si>
  <si>
    <t>セキュリティ水準（組織的な体制や技術的対策状況）</t>
  </si>
  <si>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</si>
  <si>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</si>
  <si>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</si>
  <si>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詳細</t>
    </r>
    <r>
      <rPr>
        <rFont val="游ゴシック"/>
        <color theme="1"/>
        <sz val="10.0"/>
      </rPr>
      <t>(checkbox)</t>
    </r>
  </si>
  <si>
    <r>
      <rPr>
        <rFont val="Noto Sans CJK SC"/>
        <color theme="1"/>
        <sz val="10.0"/>
      </rPr>
      <t>外部委託先や外部サービスに対してセキュリティリスク評価を実施していますか。</t>
    </r>
    <r>
      <rPr>
        <rFont val="游ゴシック"/>
        <color theme="1"/>
        <sz val="10.0"/>
      </rPr>
      <t>...</t>
    </r>
  </si>
  <si>
    <r>
      <rPr>
        <rFont val="Noto Sans CJK SC"/>
        <color theme="1"/>
        <sz val="10.0"/>
      </rPr>
      <t>外部委託先や外部サービスに対してセキュリティリスク評価を実施していますか。</t>
    </r>
    <r>
      <rPr>
        <rFont val="游ゴシック"/>
        <color theme="1"/>
        <sz val="10.0"/>
      </rPr>
      <t>...</t>
    </r>
  </si>
  <si>
    <t>分岐ルール一覧</t>
  </si>
  <si>
    <r>
      <rPr>
        <rFont val="Noto Sans CJK SC"/>
        <color rgb="FF666666"/>
        <sz val="9.0"/>
      </rPr>
      <t>設問の表示制御ロジック一覧</t>
    </r>
    <r>
      <rPr>
        <rFont val="游ゴシック"/>
        <color rgb="FF666666"/>
        <sz val="9.0"/>
      </rPr>
      <t>(</t>
    </r>
    <r>
      <rPr>
        <rFont val="Noto Sans CJK SC"/>
        <color rgb="FF666666"/>
        <sz val="9.0"/>
      </rPr>
      <t>参照用</t>
    </r>
    <r>
      <rPr>
        <rFont val="游ゴシック"/>
        <color rgb="FF666666"/>
        <sz val="9.0"/>
      </rPr>
      <t>)</t>
    </r>
    <r>
      <rPr>
        <rFont val="Noto Sans CJK SC"/>
        <color rgb="FF666666"/>
        <sz val="9.0"/>
      </rPr>
      <t>。</t>
    </r>
  </si>
  <si>
    <r>
      <rPr>
        <rFont val="Noto Sans CJK SC"/>
        <b/>
        <color rgb="FFFFFFFF"/>
        <sz val="11.0"/>
      </rPr>
      <t>ルール</t>
    </r>
    <r>
      <rPr>
        <rFont val="游ゴシック"/>
        <b/>
        <color rgb="FFFFFFFF"/>
        <sz val="11.0"/>
      </rPr>
      <t>ID</t>
    </r>
  </si>
  <si>
    <t>親設問</t>
  </si>
  <si>
    <r>
      <rPr>
        <rFont val="Noto Sans CJK SC"/>
        <b/>
        <color rgb="FFFFFFFF"/>
        <sz val="11.0"/>
      </rPr>
      <t>親選択肢</t>
    </r>
    <r>
      <rPr>
        <rFont val="游ゴシック"/>
        <b/>
        <color rgb="FFFFFFFF"/>
        <sz val="11.0"/>
      </rPr>
      <t>/</t>
    </r>
    <r>
      <rPr>
        <rFont val="Noto Sans CJK SC"/>
        <b/>
        <color rgb="FFFFFFFF"/>
        <sz val="11.0"/>
      </rPr>
      <t>値</t>
    </r>
  </si>
  <si>
    <t>子設問が回答不要になる条件</t>
  </si>
  <si>
    <t>分岐種別</t>
  </si>
  <si>
    <t>R01</t>
  </si>
  <si>
    <t>取引元のみ</t>
  </si>
  <si>
    <r>
      <rPr>
        <rFont val="游ゴシック"/>
        <color theme="1"/>
        <sz val="10.0"/>
      </rPr>
      <t xml:space="preserve">OA-5, OA-9, OA-10, PH-1 </t>
    </r>
    <r>
      <rPr>
        <rFont val="Noto Sans CJK SC"/>
        <color theme="1"/>
        <sz val="10.0"/>
      </rPr>
      <t>が回答不要</t>
    </r>
  </si>
  <si>
    <t>大分岐</t>
  </si>
  <si>
    <t>R02</t>
  </si>
  <si>
    <r>
      <rPr>
        <rFont val="游ゴシック"/>
        <color theme="1"/>
        <sz val="10.0"/>
      </rPr>
      <t>OA-1</t>
    </r>
    <r>
      <rPr>
        <rFont val="Noto Sans CJK SC"/>
        <color theme="1"/>
        <sz val="10.0"/>
      </rPr>
      <t>〜</t>
    </r>
    <r>
      <rPr>
        <rFont val="游ゴシック"/>
        <color theme="1"/>
        <sz val="10.0"/>
      </rPr>
      <t xml:space="preserve">4, 6, 7, 8 </t>
    </r>
    <r>
      <rPr>
        <rFont val="Noto Sans CJK SC"/>
        <color theme="1"/>
        <sz val="10.0"/>
      </rPr>
      <t>が回答不要</t>
    </r>
  </si>
  <si>
    <t>R03</t>
  </si>
  <si>
    <r>
      <rPr>
        <rFont val="游ゴシック"/>
        <color theme="1"/>
        <sz val="10.0"/>
      </rPr>
      <t>AC-1</t>
    </r>
    <r>
      <rPr>
        <rFont val="Noto Sans CJK SC"/>
        <color theme="1"/>
        <sz val="10.0"/>
      </rPr>
      <t>〜</t>
    </r>
    <r>
      <rPr>
        <rFont val="游ゴシック"/>
        <color theme="1"/>
        <sz val="10.0"/>
      </rPr>
      <t>9, CR-1, PH-2</t>
    </r>
    <r>
      <rPr>
        <rFont val="Noto Sans CJK SC"/>
        <color theme="1"/>
        <sz val="10.0"/>
      </rPr>
      <t>〜</t>
    </r>
    <r>
      <rPr>
        <rFont val="游ゴシック"/>
        <color theme="1"/>
        <sz val="10.0"/>
      </rPr>
      <t xml:space="preserve">5, OP, MN, NW, SY, BC </t>
    </r>
    <r>
      <rPr>
        <rFont val="Noto Sans CJK SC"/>
        <color theme="1"/>
        <sz val="10.0"/>
      </rPr>
      <t>が回答不要</t>
    </r>
  </si>
  <si>
    <t>R04</t>
  </si>
  <si>
    <t>回答事業者のみ</t>
  </si>
  <si>
    <r>
      <rPr>
        <rFont val="游ゴシック"/>
        <color theme="1"/>
        <sz val="10.0"/>
      </rPr>
      <t>AC-10</t>
    </r>
    <r>
      <rPr>
        <rFont val="Noto Sans CJK SC"/>
        <color theme="1"/>
        <sz val="10.0"/>
      </rPr>
      <t>〜</t>
    </r>
    <r>
      <rPr>
        <rFont val="游ゴシック"/>
        <color theme="1"/>
        <sz val="10.0"/>
      </rPr>
      <t xml:space="preserve">15 </t>
    </r>
    <r>
      <rPr>
        <rFont val="Noto Sans CJK SC"/>
        <color theme="1"/>
        <sz val="10.0"/>
      </rPr>
      <t>が回答不要</t>
    </r>
  </si>
  <si>
    <t>R05</t>
  </si>
  <si>
    <r>
      <rPr>
        <rFont val="游ゴシック"/>
        <color theme="1"/>
        <sz val="10.0"/>
      </rPr>
      <t xml:space="preserve">AS-3 </t>
    </r>
    <r>
      <rPr>
        <rFont val="Noto Sans CJK SC"/>
        <color theme="1"/>
        <sz val="10.0"/>
      </rPr>
      <t>が回答不要</t>
    </r>
  </si>
  <si>
    <t>小分岐</t>
  </si>
  <si>
    <t>R06</t>
  </si>
  <si>
    <r>
      <rPr>
        <rFont val="游ゴシック"/>
        <color theme="1"/>
        <sz val="10.0"/>
      </rPr>
      <t xml:space="preserve">OA-7 </t>
    </r>
    <r>
      <rPr>
        <rFont val="Noto Sans CJK SC"/>
        <color theme="1"/>
        <sz val="10.0"/>
      </rPr>
      <t>が回答不要</t>
    </r>
  </si>
  <si>
    <t>R07</t>
  </si>
  <si>
    <r>
      <rPr>
        <rFont val="游ゴシック"/>
        <color theme="1"/>
        <sz val="10.0"/>
      </rPr>
      <t xml:space="preserve">OA-10 </t>
    </r>
    <r>
      <rPr>
        <rFont val="Noto Sans CJK SC"/>
        <color theme="1"/>
        <sz val="10.0"/>
      </rPr>
      <t>が回答不要</t>
    </r>
  </si>
  <si>
    <t>R08</t>
  </si>
  <si>
    <t>個別ユーザー毎にアカウント</t>
  </si>
  <si>
    <r>
      <rPr>
        <rFont val="游ゴシック"/>
        <color theme="1"/>
        <sz val="10.0"/>
      </rPr>
      <t xml:space="preserve">AC-4 </t>
    </r>
    <r>
      <rPr>
        <rFont val="Noto Sans CJK SC"/>
        <color theme="1"/>
        <sz val="10.0"/>
      </rPr>
      <t>が回答不要</t>
    </r>
  </si>
  <si>
    <t>R09</t>
  </si>
  <si>
    <t>選択肢に応じて</t>
  </si>
  <si>
    <r>
      <rPr>
        <rFont val="游ゴシック"/>
        <color theme="1"/>
        <sz val="10.0"/>
      </rPr>
      <t xml:space="preserve">AC-11/12/13 </t>
    </r>
    <r>
      <rPr>
        <rFont val="Noto Sans CJK SC"/>
        <color theme="1"/>
        <sz val="10.0"/>
      </rPr>
      <t>のいずれかが回答不要</t>
    </r>
  </si>
  <si>
    <t>R10</t>
  </si>
  <si>
    <r>
      <rPr>
        <rFont val="游ゴシック"/>
        <color theme="1"/>
        <sz val="10.0"/>
      </rPr>
      <t xml:space="preserve">AC-15 </t>
    </r>
    <r>
      <rPr>
        <rFont val="Noto Sans CJK SC"/>
        <color theme="1"/>
        <sz val="10.0"/>
      </rPr>
      <t>が回答不要</t>
    </r>
  </si>
  <si>
    <t>R11</t>
  </si>
  <si>
    <r>
      <rPr>
        <rFont val="Noto Sans CJK SC"/>
        <color theme="1"/>
        <sz val="10.0"/>
      </rPr>
      <t>自社</t>
    </r>
    <r>
      <rPr>
        <rFont val="游ゴシック"/>
        <color theme="1"/>
        <sz val="10.0"/>
      </rPr>
      <t>DC×</t>
    </r>
  </si>
  <si>
    <r>
      <rPr>
        <rFont val="游ゴシック"/>
        <color theme="1"/>
        <sz val="10.0"/>
      </rPr>
      <t xml:space="preserve">PH-3, PH-4 </t>
    </r>
    <r>
      <rPr>
        <rFont val="Noto Sans CJK SC"/>
        <color theme="1"/>
        <sz val="10.0"/>
      </rPr>
      <t>が回答不要</t>
    </r>
  </si>
  <si>
    <r>
      <rPr>
        <rFont val="Noto Sans CJK SC"/>
        <color theme="1"/>
        <sz val="10.0"/>
      </rPr>
      <t>小分岐</t>
    </r>
    <r>
      <rPr>
        <rFont val="游ゴシック"/>
        <color theme="1"/>
        <sz val="10.0"/>
      </rPr>
      <t>(</t>
    </r>
    <r>
      <rPr>
        <rFont val="Noto Sans CJK SC"/>
        <color theme="1"/>
        <sz val="10.0"/>
      </rPr>
      <t>複数選択</t>
    </r>
    <r>
      <rPr>
        <rFont val="游ゴシック"/>
        <color theme="1"/>
        <sz val="10.0"/>
      </rPr>
      <t>)</t>
    </r>
  </si>
  <si>
    <t>R12</t>
  </si>
  <si>
    <r>
      <rPr>
        <rFont val="游ゴシック"/>
        <color theme="1"/>
        <sz val="10.0"/>
      </rPr>
      <t>IaaS×&amp;</t>
    </r>
    <r>
      <rPr>
        <rFont val="Noto Sans CJK SC"/>
        <color theme="1"/>
        <sz val="10.0"/>
      </rPr>
      <t>他社</t>
    </r>
    <r>
      <rPr>
        <rFont val="游ゴシック"/>
        <color theme="1"/>
        <sz val="10.0"/>
      </rPr>
      <t>DC×</t>
    </r>
  </si>
  <si>
    <r>
      <rPr>
        <rFont val="游ゴシック"/>
        <color theme="1"/>
        <sz val="10.0"/>
      </rPr>
      <t xml:space="preserve">PH-5 </t>
    </r>
    <r>
      <rPr>
        <rFont val="Noto Sans CJK SC"/>
        <color theme="1"/>
        <sz val="10.0"/>
      </rPr>
      <t>が回答不要</t>
    </r>
  </si>
  <si>
    <r>
      <rPr>
        <rFont val="Noto Sans CJK SC"/>
        <color theme="1"/>
        <sz val="10.0"/>
      </rPr>
      <t>小分岐</t>
    </r>
    <r>
      <rPr>
        <rFont val="游ゴシック"/>
        <color theme="1"/>
        <sz val="10.0"/>
      </rPr>
      <t>(</t>
    </r>
    <r>
      <rPr>
        <rFont val="Noto Sans CJK SC"/>
        <color theme="1"/>
        <sz val="10.0"/>
      </rPr>
      <t>複数選択</t>
    </r>
    <r>
      <rPr>
        <rFont val="游ゴシック"/>
        <color theme="1"/>
        <sz val="10.0"/>
      </rPr>
      <t>)</t>
    </r>
  </si>
  <si>
    <t>R13</t>
  </si>
  <si>
    <r>
      <rPr>
        <rFont val="游ゴシック"/>
        <color theme="1"/>
        <sz val="10.0"/>
      </rPr>
      <t xml:space="preserve">NW-4, NW-5 </t>
    </r>
    <r>
      <rPr>
        <rFont val="Noto Sans CJK SC"/>
        <color theme="1"/>
        <sz val="10.0"/>
      </rPr>
      <t>が回答不要</t>
    </r>
  </si>
  <si>
    <t>R14</t>
  </si>
  <si>
    <r>
      <rPr>
        <rFont val="游ゴシック"/>
        <color theme="1"/>
        <sz val="10.0"/>
      </rPr>
      <t xml:space="preserve">NW-7 </t>
    </r>
    <r>
      <rPr>
        <rFont val="Noto Sans CJK SC"/>
        <color theme="1"/>
        <sz val="10.0"/>
      </rPr>
      <t>が回答不要</t>
    </r>
  </si>
  <si>
    <t>利用ガイド</t>
  </si>
  <si>
    <t>■ このファイル</t>
  </si>
  <si>
    <r>
      <rPr>
        <rFont val="游ゴシック"/>
        <color theme="1"/>
        <sz val="11.0"/>
      </rPr>
      <t>Assured</t>
    </r>
    <r>
      <rPr>
        <rFont val="Noto Sans CJK SC"/>
        <color theme="1"/>
        <sz val="11.0"/>
      </rPr>
      <t>企業評価の</t>
    </r>
    <r>
      <rPr>
        <rFont val="游ゴシック"/>
        <color theme="1"/>
        <sz val="11.0"/>
      </rPr>
      <t>Web</t>
    </r>
    <r>
      <rPr>
        <rFont val="Noto Sans CJK SC"/>
        <color theme="1"/>
        <sz val="11.0"/>
      </rPr>
      <t>回答に先立ち、社内で回答内容を下書き・レビューするための</t>
    </r>
    <r>
      <rPr>
        <rFont val="游ゴシック"/>
        <color theme="1"/>
        <sz val="11.0"/>
      </rPr>
      <t>Excel</t>
    </r>
    <r>
      <rPr>
        <rFont val="Noto Sans CJK SC"/>
        <color theme="1"/>
        <sz val="11.0"/>
      </rPr>
      <t>です。</t>
    </r>
  </si>
  <si>
    <t>■ 基本操作</t>
  </si>
  <si>
    <r>
      <rPr>
        <rFont val="游ゴシック"/>
        <color theme="1"/>
        <sz val="11.0"/>
      </rPr>
      <t xml:space="preserve">1. </t>
    </r>
    <r>
      <rPr>
        <rFont val="Noto Sans CJK SC"/>
        <color theme="1"/>
        <sz val="11.0"/>
      </rPr>
      <t>「回答シート」を開く</t>
    </r>
  </si>
  <si>
    <r>
      <rPr>
        <rFont val="游ゴシック"/>
        <color theme="1"/>
        <sz val="11.0"/>
      </rPr>
      <t xml:space="preserve">2. </t>
    </r>
    <r>
      <rPr>
        <rFont val="Noto Sans CJK SC"/>
        <color theme="1"/>
        <sz val="11.0"/>
      </rPr>
      <t xml:space="preserve">設問順に、各選択肢の『該当』列で ○ または </t>
    </r>
    <r>
      <rPr>
        <rFont val="游ゴシック"/>
        <color theme="1"/>
        <sz val="11.0"/>
      </rPr>
      <t xml:space="preserve">× </t>
    </r>
    <r>
      <rPr>
        <rFont val="Noto Sans CJK SC"/>
        <color theme="1"/>
        <sz val="11.0"/>
      </rPr>
      <t>を選択</t>
    </r>
  </si>
  <si>
    <r>
      <rPr>
        <rFont val="游ゴシック"/>
        <color theme="1"/>
        <sz val="11.0"/>
      </rPr>
      <t xml:space="preserve">3. ○ </t>
    </r>
    <r>
      <rPr>
        <rFont val="Noto Sans CJK SC"/>
        <color theme="1"/>
        <sz val="11.0"/>
      </rPr>
      <t>を選択した選択肢の詳細項目欄を入力</t>
    </r>
  </si>
  <si>
    <r>
      <rPr>
        <rFont val="游ゴシック"/>
        <color theme="1"/>
        <sz val="11.0"/>
      </rPr>
      <t xml:space="preserve">4. </t>
    </r>
    <r>
      <rPr>
        <rFont val="Noto Sans CJK SC"/>
        <color theme="1"/>
        <sz val="11.0"/>
      </rPr>
      <t>「自由記述</t>
    </r>
    <r>
      <rPr>
        <rFont val="游ゴシック"/>
        <color theme="1"/>
        <sz val="11.0"/>
      </rPr>
      <t>/</t>
    </r>
    <r>
      <rPr>
        <rFont val="Noto Sans CJK SC"/>
        <color theme="1"/>
        <sz val="11.0"/>
      </rPr>
      <t>補足」欄に固有名称等を記入</t>
    </r>
  </si>
  <si>
    <r>
      <rPr>
        <rFont val="Noto Sans CJK SC"/>
        <b/>
        <color rgb="FF1F4E78"/>
        <sz val="12.0"/>
      </rPr>
      <t>■ 回答不要設問の見分け方</t>
    </r>
    <r>
      <rPr>
        <rFont val="游ゴシック"/>
        <b/>
        <color rgb="FF1F4E78"/>
        <sz val="12.0"/>
      </rPr>
      <t>(3</t>
    </r>
    <r>
      <rPr>
        <rFont val="Noto Sans CJK SC"/>
        <b/>
        <color rgb="FF1F4E78"/>
        <sz val="12.0"/>
      </rPr>
      <t>箇所で明示</t>
    </r>
    <r>
      <rPr>
        <rFont val="游ゴシック"/>
        <b/>
        <color rgb="FF1F4E78"/>
        <sz val="12.0"/>
      </rPr>
      <t>)</t>
    </r>
  </si>
  <si>
    <r>
      <rPr>
        <rFont val="Noto Sans CJK SC"/>
        <color theme="1"/>
        <sz val="11.0"/>
      </rPr>
      <t>・「状態」列</t>
    </r>
    <r>
      <rPr>
        <rFont val="游ゴシック"/>
        <color theme="1"/>
        <sz val="11.0"/>
      </rPr>
      <t>(B</t>
    </r>
    <r>
      <rPr>
        <rFont val="Noto Sans CJK SC"/>
        <color theme="1"/>
        <sz val="11.0"/>
      </rPr>
      <t>列</t>
    </r>
    <r>
      <rPr>
        <rFont val="游ゴシック"/>
        <color theme="1"/>
        <sz val="11.0"/>
      </rPr>
      <t xml:space="preserve">): </t>
    </r>
    <r>
      <rPr>
        <rFont val="Noto Sans CJK SC"/>
        <color theme="1"/>
        <sz val="11.0"/>
      </rPr>
      <t>「要回答」</t>
    </r>
    <r>
      <rPr>
        <rFont val="游ゴシック"/>
        <color theme="1"/>
        <sz val="11.0"/>
      </rPr>
      <t>or</t>
    </r>
    <r>
      <rPr>
        <rFont val="Noto Sans CJK SC"/>
        <color theme="1"/>
        <sz val="11.0"/>
      </rPr>
      <t>「✖ 回答不要」</t>
    </r>
  </si>
  <si>
    <r>
      <rPr>
        <rFont val="Noto Sans CJK SC"/>
        <color theme="1"/>
        <sz val="11.0"/>
      </rPr>
      <t>・「設問文」列</t>
    </r>
    <r>
      <rPr>
        <rFont val="游ゴシック"/>
        <color theme="1"/>
        <sz val="11.0"/>
      </rPr>
      <t>(F</t>
    </r>
    <r>
      <rPr>
        <rFont val="Noto Sans CJK SC"/>
        <color theme="1"/>
        <sz val="11.0"/>
      </rPr>
      <t>列</t>
    </r>
    <r>
      <rPr>
        <rFont val="游ゴシック"/>
        <color theme="1"/>
        <sz val="11.0"/>
      </rPr>
      <t xml:space="preserve">): </t>
    </r>
    <r>
      <rPr>
        <rFont val="Noto Sans CJK SC"/>
        <color theme="1"/>
        <sz val="11.0"/>
      </rPr>
      <t>回答不要時は冒頭に「【この設問は回答不要です】」</t>
    </r>
  </si>
  <si>
    <r>
      <rPr>
        <rFont val="Noto Sans CJK SC"/>
        <color theme="1"/>
        <sz val="11.0"/>
      </rPr>
      <t>・「選択肢」列</t>
    </r>
    <r>
      <rPr>
        <rFont val="游ゴシック"/>
        <color theme="1"/>
        <sz val="11.0"/>
      </rPr>
      <t>(G</t>
    </r>
    <r>
      <rPr>
        <rFont val="Noto Sans CJK SC"/>
        <color theme="1"/>
        <sz val="11.0"/>
      </rPr>
      <t>列</t>
    </r>
    <r>
      <rPr>
        <rFont val="游ゴシック"/>
        <color theme="1"/>
        <sz val="11.0"/>
      </rPr>
      <t xml:space="preserve">): </t>
    </r>
    <r>
      <rPr>
        <rFont val="Noto Sans CJK SC"/>
        <color theme="1"/>
        <sz val="11.0"/>
      </rPr>
      <t>回答不要時は各選択肢の前に「【回答不要】」</t>
    </r>
  </si>
  <si>
    <t>■ シート構成</t>
  </si>
  <si>
    <r>
      <rPr>
        <rFont val="Noto Sans CJK SC"/>
        <color theme="1"/>
        <sz val="11.0"/>
      </rPr>
      <t>・回答シート</t>
    </r>
    <r>
      <rPr>
        <rFont val="游ゴシック"/>
        <color theme="1"/>
        <sz val="11.0"/>
      </rPr>
      <t xml:space="preserve">: </t>
    </r>
    <r>
      <rPr>
        <rFont val="Noto Sans CJK SC"/>
        <color theme="1"/>
        <sz val="11.0"/>
      </rPr>
      <t>メイン</t>
    </r>
  </si>
  <si>
    <r>
      <rPr>
        <rFont val="Noto Sans CJK SC"/>
        <color theme="1"/>
        <sz val="11.0"/>
      </rPr>
      <t>・凡例・見方</t>
    </r>
    <r>
      <rPr>
        <rFont val="游ゴシック"/>
        <color theme="1"/>
        <sz val="11.0"/>
      </rPr>
      <t xml:space="preserve">: </t>
    </r>
    <r>
      <rPr>
        <rFont val="Noto Sans CJK SC"/>
        <color theme="1"/>
        <sz val="11.0"/>
      </rPr>
      <t>各記号・色・列の説明</t>
    </r>
  </si>
  <si>
    <r>
      <rPr>
        <rFont val="Noto Sans CJK SC"/>
        <color theme="1"/>
        <sz val="11.0"/>
      </rPr>
      <t>・選択肢マスタ</t>
    </r>
    <r>
      <rPr>
        <rFont val="游ゴシック"/>
        <color theme="1"/>
        <sz val="11.0"/>
      </rPr>
      <t xml:space="preserve">: </t>
    </r>
    <r>
      <rPr>
        <rFont val="Noto Sans CJK SC"/>
        <color theme="1"/>
        <sz val="11.0"/>
      </rPr>
      <t>全設問の選択肢一覧</t>
    </r>
  </si>
  <si>
    <r>
      <rPr>
        <rFont val="Noto Sans CJK SC"/>
        <color theme="1"/>
        <sz val="11.0"/>
      </rPr>
      <t>・分岐ルール</t>
    </r>
    <r>
      <rPr>
        <rFont val="游ゴシック"/>
        <color theme="1"/>
        <sz val="11.0"/>
      </rPr>
      <t xml:space="preserve">: </t>
    </r>
    <r>
      <rPr>
        <rFont val="Noto Sans CJK SC"/>
        <color theme="1"/>
        <sz val="11.0"/>
      </rPr>
      <t>表示制御ロジック</t>
    </r>
  </si>
  <si>
    <r>
      <rPr>
        <rFont val="Noto Sans CJK SC"/>
        <color theme="1"/>
        <sz val="11.0"/>
      </rPr>
      <t>・利用ガイド</t>
    </r>
    <r>
      <rPr>
        <rFont val="游ゴシック"/>
        <color theme="1"/>
        <sz val="11.0"/>
      </rPr>
      <t xml:space="preserve">: </t>
    </r>
    <r>
      <rPr>
        <rFont val="Noto Sans CJK SC"/>
        <color theme="1"/>
        <sz val="11.0"/>
      </rPr>
      <t>このシート</t>
    </r>
  </si>
</sst>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b/>
      <sz val="14.0"/>
      <color rgb="FF1F4E78"/>
      <name val="游ゴシック"/>
    </font>
    <font>
      <sz val="9.0"/>
      <color rgb="FF666666"/>
      <name val="Noto Sans"/>
    </font>
    <font>
      <b/>
      <sz val="11.0"/>
      <color rgb="FFFFFFFF"/>
      <name val="游ゴシック"/>
    </font>
    <font>
      <b/>
      <sz val="11.0"/>
      <color rgb="FFFFFFFF"/>
      <name val="Noto Sans"/>
    </font>
    <font>
      <sz val="11.0"/>
      <color theme="1"/>
      <name val="Calibri"/>
    </font>
    <font/>
    <font>
      <b/>
      <sz val="10.0"/>
      <color theme="1"/>
      <name val="Arial"/>
    </font>
    <font>
      <sz val="10.0"/>
      <color theme="1"/>
      <name val="Arial"/>
    </font>
    <font>
      <sz val="11.0"/>
      <color theme="1"/>
      <name val="Arial"/>
    </font>
    <font>
      <b/>
      <sz val="10.0"/>
      <color theme="1"/>
      <name val="游ゴシック"/>
    </font>
    <font>
      <b/>
      <sz val="10.0"/>
      <color theme="1"/>
      <name val="Noto Sans"/>
    </font>
    <font>
      <sz val="10.0"/>
      <color theme="1"/>
      <name val="Noto Sans"/>
    </font>
    <font>
      <sz val="10.0"/>
      <color theme="1"/>
      <name val="游ゴシック"/>
    </font>
    <font>
      <b/>
      <sz val="16.0"/>
      <color rgb="FF1F4E78"/>
      <name val="Noto Sans"/>
    </font>
    <font>
      <b/>
      <sz val="12.0"/>
      <color rgb="FFFFFFFF"/>
      <name val="Noto Sans"/>
    </font>
    <font>
      <b/>
      <sz val="10.0"/>
      <color rgb="FFC00000"/>
      <name val="Noto Sans"/>
    </font>
    <font>
      <b/>
      <sz val="10.0"/>
      <color rgb="FF0070C0"/>
      <name val="Noto Sans"/>
    </font>
    <font>
      <i/>
      <sz val="10.0"/>
      <color rgb="FFC00000"/>
      <name val="Noto Sans"/>
    </font>
    <font>
      <b/>
      <sz val="14.0"/>
      <color rgb="FF1F4E78"/>
      <name val="Noto Sans"/>
    </font>
    <font>
      <sz val="11.0"/>
      <color theme="1"/>
      <name val="游ゴシック"/>
    </font>
    <font>
      <b/>
      <sz val="12.0"/>
      <color rgb="FF1F4E78"/>
      <name val="Noto Sans"/>
    </font>
    <font>
      <sz val="11.0"/>
      <color theme="1"/>
      <name val="Noto Sans"/>
    </font>
  </fonts>
  <fills count="10">
    <fill>
      <patternFill patternType="none"/>
    </fill>
    <fill>
      <patternFill patternType="lightGray"/>
    </fill>
    <fill>
      <patternFill patternType="solid">
        <fgColor rgb="FF1F4E78"/>
        <bgColor rgb="FF1F4E78"/>
      </patternFill>
    </fill>
    <fill>
      <patternFill patternType="solid">
        <fgColor rgb="FFDAE9F8"/>
        <bgColor rgb="FFDAE9F8"/>
      </patternFill>
    </fill>
    <fill>
      <patternFill patternType="solid">
        <fgColor rgb="FFDDEBF7"/>
        <bgColor rgb="FFDDEBF7"/>
      </patternFill>
    </fill>
    <fill>
      <patternFill patternType="solid">
        <fgColor rgb="FFFFF2CC"/>
        <bgColor rgb="FFFFF2CC"/>
      </patternFill>
    </fill>
    <fill>
      <patternFill patternType="solid">
        <fgColor rgb="FFF2F2F2"/>
        <bgColor rgb="FFF2F2F2"/>
      </patternFill>
    </fill>
    <fill>
      <patternFill patternType="solid">
        <fgColor rgb="FF305496"/>
        <bgColor rgb="FF305496"/>
      </patternFill>
    </fill>
    <fill>
      <patternFill patternType="solid">
        <fgColor rgb="FFFFD6D6"/>
        <bgColor rgb="FFFFD6D6"/>
      </patternFill>
    </fill>
    <fill>
      <patternFill patternType="solid">
        <fgColor rgb="FFE6F1FB"/>
        <bgColor rgb="FFE6F1FB"/>
      </patternFill>
    </fill>
  </fills>
  <borders count="11">
    <border/>
    <border>
      <left style="thin">
        <color rgb="FFC4BD97"/>
      </left>
      <right style="thin">
        <color rgb="FFC4BD97"/>
      </right>
      <top style="thin">
        <color rgb="FFC4BD97"/>
      </top>
      <bottom style="thin">
        <color rgb="FFC4BD97"/>
      </bottom>
    </border>
    <border>
      <left style="thin">
        <color rgb="FFC4BD97"/>
      </left>
      <top style="thin">
        <color rgb="FFC4BD97"/>
      </top>
      <bottom style="thin">
        <color rgb="FFC4BD97"/>
      </bottom>
    </border>
    <border>
      <top style="thin">
        <color rgb="FFC4BD97"/>
      </top>
      <bottom style="thin">
        <color rgb="FFC4BD97"/>
      </bottom>
    </border>
    <border>
      <right style="thin">
        <color rgb="FFC4BD97"/>
      </right>
      <top style="thin">
        <color rgb="FFC4BD97"/>
      </top>
      <bottom style="thin">
        <color rgb="FFC4BD97"/>
      </bottom>
    </border>
    <border>
      <left/>
      <top/>
      <bottom/>
    </border>
    <border>
      <top/>
      <bottom/>
    </border>
    <border>
      <right/>
      <top/>
      <bottom/>
    </border>
    <border>
      <left style="thin">
        <color rgb="FFCCCCCC"/>
      </left>
      <right style="thin">
        <color rgb="FFCCCCCC"/>
      </right>
      <top style="thin">
        <color rgb="FFCCCCCC"/>
      </top>
      <bottom style="thin">
        <color rgb="FFCCCCCC"/>
      </bottom>
    </border>
    <border>
      <left style="thin">
        <color rgb="FFCCCCCC"/>
      </left>
      <top style="thin">
        <color rgb="FFCCCCCC"/>
      </top>
      <bottom style="thin">
        <color rgb="FFCCCCCC"/>
      </bottom>
    </border>
    <border>
      <top style="thin">
        <color rgb="FFCCCCCC"/>
      </top>
      <bottom style="thin">
        <color rgb="FFCCCCCC"/>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0" fillId="0" fontId="1" numFmtId="0" xfId="0" applyFont="1"/>
    <xf borderId="0" fillId="0" fontId="2" numFmtId="0" xfId="0" applyFont="1"/>
    <xf borderId="1" fillId="2" fontId="3" numFmtId="0" xfId="0" applyAlignment="1" applyBorder="1" applyFill="1" applyFont="1">
      <alignment horizontal="center" shrinkToFit="0" vertical="center" wrapText="1"/>
    </xf>
    <xf borderId="1" fillId="2" fontId="4" numFmtId="0" xfId="0" applyAlignment="1" applyBorder="1" applyFont="1">
      <alignment horizontal="center" shrinkToFit="0" vertical="center" wrapText="1"/>
    </xf>
    <xf borderId="2" fillId="0" fontId="5" numFmtId="0" xfId="0" applyBorder="1" applyFont="1"/>
    <xf borderId="3" fillId="0" fontId="6" numFmtId="0" xfId="0" applyBorder="1" applyFont="1"/>
    <xf borderId="4" fillId="0" fontId="6" numFmtId="0" xfId="0" applyBorder="1" applyFont="1"/>
    <xf borderId="1" fillId="0" fontId="7" numFmtId="0" xfId="0" applyAlignment="1" applyBorder="1" applyFont="1">
      <alignment horizontal="center" shrinkToFit="0" vertical="center" wrapText="1"/>
    </xf>
    <xf borderId="1" fillId="3" fontId="7" numFmtId="0" xfId="0" applyAlignment="1" applyBorder="1" applyFill="1" applyFont="1">
      <alignment horizontal="center" shrinkToFit="0" vertical="center" wrapText="1"/>
    </xf>
    <xf borderId="1" fillId="0" fontId="8" numFmtId="0" xfId="0" applyBorder="1" applyFont="1"/>
    <xf borderId="1" fillId="0" fontId="7" numFmtId="0" xfId="0" applyBorder="1" applyFont="1"/>
    <xf borderId="1" fillId="0" fontId="8" numFmtId="0" xfId="0" applyAlignment="1" applyBorder="1" applyFont="1">
      <alignment horizontal="left" shrinkToFit="0" vertical="top" wrapText="1"/>
    </xf>
    <xf borderId="1" fillId="4" fontId="8" numFmtId="0" xfId="0" applyAlignment="1" applyBorder="1" applyFill="1" applyFont="1">
      <alignment horizontal="left" shrinkToFit="0" vertical="top" wrapText="1"/>
    </xf>
    <xf borderId="1" fillId="5" fontId="5" numFmtId="0" xfId="0" applyAlignment="1" applyBorder="1" applyFill="1" applyFont="1">
      <alignment horizontal="center" shrinkToFit="0" vertical="center" wrapText="1"/>
    </xf>
    <xf borderId="1" fillId="5" fontId="5" numFmtId="0" xfId="0" applyAlignment="1" applyBorder="1" applyFont="1">
      <alignment horizontal="left" shrinkToFit="0" vertical="top" wrapText="1"/>
    </xf>
    <xf borderId="1" fillId="0" fontId="5" numFmtId="0" xfId="0" applyBorder="1" applyFont="1"/>
    <xf borderId="1" fillId="0" fontId="2" numFmtId="0" xfId="0" applyAlignment="1" applyBorder="1" applyFont="1">
      <alignment horizontal="center" shrinkToFit="0" vertical="center" wrapText="1"/>
    </xf>
    <xf borderId="1" fillId="0" fontId="9" numFmtId="0" xfId="0" applyBorder="1" applyFont="1"/>
    <xf borderId="1" fillId="6" fontId="8" numFmtId="0" xfId="0" applyAlignment="1" applyBorder="1" applyFill="1" applyFont="1">
      <alignment horizontal="left" shrinkToFit="0" vertical="top" wrapText="1"/>
    </xf>
    <xf borderId="1" fillId="5" fontId="5" numFmtId="0" xfId="0" applyBorder="1" applyFont="1"/>
    <xf borderId="1" fillId="0" fontId="10" numFmtId="0" xfId="0" applyAlignment="1" applyBorder="1" applyFont="1">
      <alignment horizontal="center" shrinkToFit="0" vertical="center" wrapText="1"/>
    </xf>
    <xf borderId="1" fillId="3" fontId="11" numFmtId="0" xfId="0" applyAlignment="1" applyBorder="1" applyFont="1">
      <alignment horizontal="center" shrinkToFit="0" vertical="center" wrapText="1"/>
    </xf>
    <xf borderId="1" fillId="0" fontId="12" numFmtId="0" xfId="0" applyBorder="1" applyFont="1"/>
    <xf borderId="1" fillId="0" fontId="10" numFmtId="0" xfId="0" applyBorder="1" applyFont="1"/>
    <xf borderId="1" fillId="0" fontId="12" numFmtId="0" xfId="0" applyAlignment="1" applyBorder="1" applyFont="1">
      <alignment horizontal="left" shrinkToFit="0" vertical="top" wrapText="1"/>
    </xf>
    <xf borderId="1" fillId="4" fontId="12" numFmtId="0" xfId="0" applyAlignment="1" applyBorder="1" applyFont="1">
      <alignment horizontal="left" shrinkToFit="0" vertical="top" wrapText="1"/>
    </xf>
    <xf borderId="1" fillId="6" fontId="12" numFmtId="0" xfId="0" applyAlignment="1" applyBorder="1" applyFont="1">
      <alignment horizontal="left" shrinkToFit="0" vertical="top" wrapText="1"/>
    </xf>
    <xf borderId="1" fillId="0" fontId="13" numFmtId="0" xfId="0" applyBorder="1" applyFont="1"/>
    <xf borderId="0" fillId="0" fontId="14" numFmtId="0" xfId="0" applyFont="1"/>
    <xf borderId="5" fillId="7" fontId="15" numFmtId="0" xfId="0" applyAlignment="1" applyBorder="1" applyFill="1" applyFont="1">
      <alignment horizontal="left" shrinkToFit="0" vertical="center" wrapText="1"/>
    </xf>
    <xf borderId="6" fillId="0" fontId="6" numFmtId="0" xfId="0" applyBorder="1" applyFont="1"/>
    <xf borderId="7" fillId="0" fontId="6" numFmtId="0" xfId="0" applyBorder="1" applyFont="1"/>
    <xf borderId="8" fillId="3" fontId="11" numFmtId="0" xfId="0" applyAlignment="1" applyBorder="1" applyFont="1">
      <alignment horizontal="center" shrinkToFit="0" vertical="center" wrapText="1"/>
    </xf>
    <xf borderId="9" fillId="0" fontId="12" numFmtId="0" xfId="0" applyAlignment="1" applyBorder="1" applyFont="1">
      <alignment horizontal="left" shrinkToFit="0" vertical="center" wrapText="1"/>
    </xf>
    <xf borderId="10" fillId="0" fontId="6" numFmtId="0" xfId="0" applyBorder="1" applyFont="1"/>
    <xf borderId="8" fillId="8" fontId="16" numFmtId="0" xfId="0" applyAlignment="1" applyBorder="1" applyFill="1" applyFont="1">
      <alignment horizontal="center" shrinkToFit="0" vertical="center" wrapText="1"/>
    </xf>
    <xf borderId="8" fillId="0" fontId="13" numFmtId="0" xfId="0" applyAlignment="1" applyBorder="1" applyFont="1">
      <alignment horizontal="center" shrinkToFit="0" vertical="center" wrapText="1"/>
    </xf>
    <xf borderId="8" fillId="0" fontId="16" numFmtId="0" xfId="0" applyAlignment="1" applyBorder="1" applyFont="1">
      <alignment horizontal="center" shrinkToFit="0" vertical="center" wrapText="1"/>
    </xf>
    <xf borderId="8" fillId="5" fontId="10" numFmtId="0" xfId="0" applyAlignment="1" applyBorder="1" applyFont="1">
      <alignment horizontal="center" shrinkToFit="0" vertical="center" wrapText="1"/>
    </xf>
    <xf borderId="8" fillId="5" fontId="13" numFmtId="0" xfId="0" applyAlignment="1" applyBorder="1" applyFont="1">
      <alignment horizontal="center" shrinkToFit="0" vertical="center" wrapText="1"/>
    </xf>
    <xf borderId="8" fillId="4" fontId="13" numFmtId="0" xfId="0" applyAlignment="1" applyBorder="1" applyFont="1">
      <alignment horizontal="center" shrinkToFit="0" vertical="center" wrapText="1"/>
    </xf>
    <xf borderId="8" fillId="5" fontId="11" numFmtId="0" xfId="0" applyAlignment="1" applyBorder="1" applyFont="1">
      <alignment horizontal="center" shrinkToFit="0" vertical="center" wrapText="1"/>
    </xf>
    <xf borderId="8" fillId="0" fontId="17" numFmtId="0" xfId="0" applyAlignment="1" applyBorder="1" applyFont="1">
      <alignment horizontal="center" shrinkToFit="0" vertical="center" wrapText="1"/>
    </xf>
    <xf borderId="8" fillId="9" fontId="10" numFmtId="0" xfId="0" applyAlignment="1" applyBorder="1" applyFill="1" applyFont="1">
      <alignment horizontal="center" shrinkToFit="0" vertical="center" wrapText="1"/>
    </xf>
    <xf borderId="8" fillId="9" fontId="11" numFmtId="0" xfId="0" applyAlignment="1" applyBorder="1" applyFont="1">
      <alignment horizontal="center" shrinkToFit="0" vertical="center" wrapText="1"/>
    </xf>
    <xf borderId="9" fillId="0" fontId="13" numFmtId="0" xfId="0" applyAlignment="1" applyBorder="1" applyFont="1">
      <alignment horizontal="left" shrinkToFit="0" vertical="center" wrapText="1"/>
    </xf>
    <xf borderId="8" fillId="0" fontId="10" numFmtId="0" xfId="0" applyAlignment="1" applyBorder="1" applyFont="1">
      <alignment horizontal="center" shrinkToFit="0" vertical="center" wrapText="1"/>
    </xf>
    <xf borderId="8" fillId="0" fontId="12" numFmtId="0" xfId="0" applyAlignment="1" applyBorder="1" applyFont="1">
      <alignment horizontal="center" shrinkToFit="0" vertical="center" wrapText="1"/>
    </xf>
    <xf borderId="0" fillId="0" fontId="18" numFmtId="0" xfId="0" applyAlignment="1" applyFont="1">
      <alignment horizontal="left" shrinkToFit="0" vertical="top" wrapText="1"/>
    </xf>
    <xf borderId="0" fillId="0" fontId="19" numFmtId="0" xfId="0" applyFont="1"/>
    <xf borderId="8" fillId="2" fontId="4" numFmtId="0" xfId="0" applyAlignment="1" applyBorder="1" applyFont="1">
      <alignment horizontal="center" shrinkToFit="0" vertical="center" wrapText="1"/>
    </xf>
    <xf borderId="0" fillId="0" fontId="13" numFmtId="0" xfId="0" applyFont="1"/>
    <xf borderId="0" fillId="0" fontId="12" numFmtId="0" xfId="0" applyFont="1"/>
    <xf borderId="8" fillId="0" fontId="13" numFmtId="0" xfId="0" applyBorder="1" applyFont="1"/>
    <xf borderId="8" fillId="0" fontId="12" numFmtId="0" xfId="0" applyBorder="1" applyFont="1"/>
    <xf borderId="0" fillId="0" fontId="20" numFmtId="0" xfId="0" applyFont="1"/>
    <xf borderId="0" fillId="0" fontId="21" numFmtId="0" xfId="0" applyFont="1"/>
    <xf borderId="0" fillId="0" fontId="22"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5.0"/>
    <col customWidth="1" min="2" max="2" width="14.0"/>
    <col customWidth="1" min="3" max="3" width="12.0"/>
    <col customWidth="1" min="4" max="4" width="20.0"/>
    <col customWidth="1" min="5" max="5" width="13.86"/>
    <col customWidth="1" min="6" max="6" width="52.71"/>
    <col customWidth="1" min="7" max="7" width="55.0"/>
    <col customWidth="1" min="8" max="8" width="8.0"/>
    <col customWidth="1" min="9" max="11" width="22.0"/>
    <col customWidth="1" min="12" max="12" width="28.0"/>
    <col customWidth="1" min="13" max="13" width="14.0"/>
    <col customWidth="1" min="14" max="26" width="8.71"/>
  </cols>
  <sheetData>
    <row r="1" ht="30.0" customHeight="1">
      <c r="A1" s="1" t="s">
        <v>0</v>
      </c>
    </row>
    <row r="2" ht="18.0" customHeight="1">
      <c r="A2" s="2" t="s">
        <v>1</v>
      </c>
    </row>
    <row r="3" ht="21.75" customHeight="1">
      <c r="A3" s="3" t="s">
        <v>2</v>
      </c>
      <c r="B3" s="4" t="s">
        <v>3</v>
      </c>
      <c r="C3" s="4" t="s">
        <v>4</v>
      </c>
      <c r="D3" s="4" t="s">
        <v>5</v>
      </c>
      <c r="E3" s="4" t="s">
        <v>6</v>
      </c>
      <c r="F3" s="4" t="s">
        <v>7</v>
      </c>
      <c r="G3" s="4" t="s">
        <v>8</v>
      </c>
      <c r="H3" s="4" t="s">
        <v>9</v>
      </c>
      <c r="I3" s="4" t="s">
        <v>10</v>
      </c>
      <c r="J3" s="4" t="s">
        <v>11</v>
      </c>
      <c r="K3" s="4" t="s">
        <v>12</v>
      </c>
      <c r="L3" s="4" t="s">
        <v>13</v>
      </c>
      <c r="M3" s="4" t="s">
        <v>14</v>
      </c>
    </row>
    <row r="4" ht="21.75" customHeight="1">
      <c r="A4" s="5"/>
      <c r="B4" s="6"/>
      <c r="C4" s="6"/>
      <c r="D4" s="6"/>
      <c r="E4" s="6"/>
      <c r="F4" s="6"/>
      <c r="G4" s="6"/>
      <c r="H4" s="6"/>
      <c r="I4" s="6"/>
      <c r="J4" s="6"/>
      <c r="K4" s="6"/>
      <c r="L4" s="6"/>
      <c r="M4" s="7"/>
    </row>
    <row r="5" ht="54.0" customHeight="1" outlineLevel="1">
      <c r="A5" s="8">
        <v>1.0</v>
      </c>
      <c r="B5" s="9" t="str">
        <f>$M$5</f>
        <v>要回答</v>
      </c>
      <c r="C5" s="10" t="s">
        <v>15</v>
      </c>
      <c r="D5" s="10" t="s">
        <v>16</v>
      </c>
      <c r="E5" s="11" t="s">
        <v>17</v>
      </c>
      <c r="F5" s="12" t="str">
        <f>IF($M$5="✖ 回答不要","【この設問は回答不要です】"&amp;CHAR(10),"")&amp;"調査対象の業務遂行にあたり、外部委託先や外部サービスを利用する場合、その企業名やサービス名を回答してください。"</f>
        <v>調査対象の業務遂行にあたり、外部委託先や外部サービスを利用する場合、その企業名やサービス名を回答してください。</v>
      </c>
      <c r="G5" s="13" t="str">
        <f>IF($M$5="✖ 回答不要","【回答不要】 ","")&amp;"外部委託先"&amp;CHAR(10)&amp;"   └ [企業名*]"</f>
        <v>外部委託先
   └ [企業名*]</v>
      </c>
      <c r="H5" s="14"/>
      <c r="I5" s="15"/>
      <c r="J5" s="16"/>
      <c r="K5" s="16"/>
      <c r="L5" s="15"/>
      <c r="M5" s="17" t="str">
        <f t="shared" ref="M5:M40" si="1">"要回答"</f>
        <v>要回答</v>
      </c>
    </row>
    <row r="6" ht="54.0" customHeight="1" outlineLevel="1">
      <c r="A6" s="18"/>
      <c r="B6" s="18"/>
      <c r="C6" s="18"/>
      <c r="D6" s="18"/>
      <c r="E6" s="18"/>
      <c r="F6" s="18"/>
      <c r="G6" s="13" t="str">
        <f>IF($M$5="✖ 回答不要","【回答不要】 ","")&amp;"外部サービス"&amp;CHAR(10)&amp;"   └ [サービス名*]"</f>
        <v>外部サービス
   └ [サービス名*]</v>
      </c>
      <c r="H6" s="14"/>
      <c r="I6" s="15"/>
      <c r="J6" s="16"/>
      <c r="K6" s="16"/>
      <c r="L6" s="15"/>
      <c r="M6" s="17" t="str">
        <f t="shared" si="1"/>
        <v>要回答</v>
      </c>
    </row>
    <row r="7" ht="54.0" customHeight="1" outlineLevel="1">
      <c r="A7" s="18"/>
      <c r="B7" s="18"/>
      <c r="C7" s="18"/>
      <c r="D7" s="18"/>
      <c r="E7" s="18"/>
      <c r="F7" s="18"/>
      <c r="G7" s="13" t="str">
        <f>IF($M$5="✖ 回答不要","【回答不要】 ","")&amp;"該当なし"</f>
        <v>該当なし</v>
      </c>
      <c r="H7" s="14"/>
      <c r="I7" s="16"/>
      <c r="J7" s="16"/>
      <c r="K7" s="16"/>
      <c r="L7" s="15"/>
      <c r="M7" s="17" t="str">
        <f t="shared" si="1"/>
        <v>要回答</v>
      </c>
    </row>
    <row r="8" ht="54.0" customHeight="1" outlineLevel="1">
      <c r="A8" s="18"/>
      <c r="B8" s="18"/>
      <c r="C8" s="18"/>
      <c r="D8" s="18"/>
      <c r="E8" s="18"/>
      <c r="F8" s="18"/>
      <c r="G8" s="13" t="str">
        <f>IF($M$5="✖ 回答不要","【回答不要】 ","")&amp;"非公開"</f>
        <v>非公開</v>
      </c>
      <c r="H8" s="14"/>
      <c r="I8" s="16"/>
      <c r="J8" s="16"/>
      <c r="K8" s="16"/>
      <c r="L8" s="15"/>
      <c r="M8" s="17" t="str">
        <f t="shared" si="1"/>
        <v>要回答</v>
      </c>
    </row>
    <row r="9" ht="54.0" customHeight="1" outlineLevel="1">
      <c r="A9" s="8">
        <v>2.0</v>
      </c>
      <c r="B9" s="9" t="str">
        <f>$M$9</f>
        <v>要回答</v>
      </c>
      <c r="C9" s="10" t="s">
        <v>18</v>
      </c>
      <c r="D9" s="10" t="s">
        <v>16</v>
      </c>
      <c r="E9" s="11" t="s">
        <v>19</v>
      </c>
      <c r="F9" s="12" t="str">
        <f>IF($M$9="✖ 回答不要","【この設問は回答不要です】"&amp;CHAR(10),"")&amp;"外部委託先や外部サービスに業務情報を預託する場合、業務情報と企業名・サービス名を回答してください。"</f>
        <v>外部委託先や外部サービスに業務情報を預託する場合、業務情報と企業名・サービス名を回答してください。</v>
      </c>
      <c r="G9" s="13" t="str">
        <f>IF($M$9="✖ 回答不要","【回答不要】 ","")&amp;"業務情報を預託する外部委託先"</f>
        <v>業務情報を預託する外部委託先</v>
      </c>
      <c r="H9" s="14"/>
      <c r="I9" s="16"/>
      <c r="J9" s="16"/>
      <c r="K9" s="16"/>
      <c r="L9" s="15"/>
      <c r="M9" s="17" t="str">
        <f t="shared" si="1"/>
        <v>要回答</v>
      </c>
    </row>
    <row r="10" ht="54.0" customHeight="1" outlineLevel="1">
      <c r="A10" s="18"/>
      <c r="B10" s="18"/>
      <c r="C10" s="18"/>
      <c r="D10" s="18"/>
      <c r="E10" s="18"/>
      <c r="F10" s="18"/>
      <c r="G10" s="19" t="str">
        <f>IF($M$9="✖ 回答不要","【回答不要】 ","")&amp;"  └ 業務情報（個人情報除く）を預託する"&amp;CHAR(10)&amp;"       [企業名*]"</f>
        <v>  └ 業務情報（個人情報除く）を預託する
       [企業名*]</v>
      </c>
      <c r="H10" s="14"/>
      <c r="I10" s="15"/>
      <c r="J10" s="16"/>
      <c r="K10" s="16"/>
      <c r="L10" s="20"/>
      <c r="M10" s="17" t="str">
        <f t="shared" si="1"/>
        <v>要回答</v>
      </c>
    </row>
    <row r="11" ht="54.0" customHeight="1" outlineLevel="1">
      <c r="A11" s="18"/>
      <c r="B11" s="18"/>
      <c r="C11" s="18"/>
      <c r="D11" s="18"/>
      <c r="E11" s="18"/>
      <c r="F11" s="18"/>
      <c r="G11" s="19" t="str">
        <f>IF($M$9="✖ 回答不要","【回答不要】 ","")&amp;"  └ 特定個人情報（マイナンバー）を預託する"&amp;CHAR(10)&amp;"       [企業名*]"</f>
        <v>  └ 特定個人情報（マイナンバー）を預託する
       [企業名*]</v>
      </c>
      <c r="H11" s="14"/>
      <c r="I11" s="15"/>
      <c r="J11" s="16"/>
      <c r="K11" s="16"/>
      <c r="L11" s="20"/>
      <c r="M11" s="17" t="str">
        <f t="shared" si="1"/>
        <v>要回答</v>
      </c>
    </row>
    <row r="12" ht="54.0" customHeight="1" outlineLevel="1">
      <c r="A12" s="18"/>
      <c r="B12" s="18"/>
      <c r="C12" s="18"/>
      <c r="D12" s="18"/>
      <c r="E12" s="18"/>
      <c r="F12" s="18"/>
      <c r="G12" s="19" t="str">
        <f>IF($M$9="✖ 回答不要","【回答不要】 ","")&amp;"  └ 要配慮個人情報（人種、信条、社会的身分、病歴等の配慮を要する個人情報）を預託する"&amp;CHAR(10)&amp;"       [企業名*]"</f>
        <v>  └ 要配慮個人情報（人種、信条、社会的身分、病歴等の配慮を要する個人情報）を預託する
       [企業名*]</v>
      </c>
      <c r="H12" s="14"/>
      <c r="I12" s="15"/>
      <c r="J12" s="16"/>
      <c r="K12" s="16"/>
      <c r="L12" s="20"/>
      <c r="M12" s="17" t="str">
        <f t="shared" si="1"/>
        <v>要回答</v>
      </c>
    </row>
    <row r="13" ht="54.0" customHeight="1" outlineLevel="1">
      <c r="A13" s="18"/>
      <c r="B13" s="18"/>
      <c r="C13" s="18"/>
      <c r="D13" s="18"/>
      <c r="E13" s="18"/>
      <c r="F13" s="18"/>
      <c r="G13" s="19" t="str">
        <f>IF($M$9="✖ 回答不要","【回答不要】 ","")&amp;"  └ 個人データ（個人情報データベース等を構成する個人情報）を預託する"&amp;CHAR(10)&amp;"       [企業名*]"</f>
        <v>  └ 個人データ（個人情報データベース等を構成する個人情報）を預託する
       [企業名*]</v>
      </c>
      <c r="H13" s="14"/>
      <c r="I13" s="15"/>
      <c r="J13" s="16"/>
      <c r="K13" s="16"/>
      <c r="L13" s="20"/>
      <c r="M13" s="17" t="str">
        <f t="shared" si="1"/>
        <v>要回答</v>
      </c>
    </row>
    <row r="14" ht="54.0" customHeight="1" outlineLevel="1">
      <c r="A14" s="18"/>
      <c r="B14" s="18"/>
      <c r="C14" s="18"/>
      <c r="D14" s="18"/>
      <c r="E14" s="18"/>
      <c r="F14" s="18"/>
      <c r="G14" s="19" t="str">
        <f>IF($M$9="✖ 回答不要","【回答不要】 ","")&amp;"  └ 上記以外の個人情報を預託する"&amp;CHAR(10)&amp;"       [企業名*]"</f>
        <v>  └ 上記以外の個人情報を預託する
       [企業名*]</v>
      </c>
      <c r="H14" s="14"/>
      <c r="I14" s="15"/>
      <c r="J14" s="16"/>
      <c r="K14" s="16"/>
      <c r="L14" s="20"/>
      <c r="M14" s="17" t="str">
        <f t="shared" si="1"/>
        <v>要回答</v>
      </c>
    </row>
    <row r="15" ht="54.0" customHeight="1" outlineLevel="1">
      <c r="A15" s="18"/>
      <c r="B15" s="18"/>
      <c r="C15" s="18"/>
      <c r="D15" s="18"/>
      <c r="E15" s="18"/>
      <c r="F15" s="18"/>
      <c r="G15" s="13" t="str">
        <f>IF($M$9="✖ 回答不要","【回答不要】 ","")&amp;"業務情報を預託する外部サービス"</f>
        <v>業務情報を預託する外部サービス</v>
      </c>
      <c r="H15" s="14"/>
      <c r="I15" s="16"/>
      <c r="J15" s="16"/>
      <c r="K15" s="16"/>
      <c r="L15" s="15"/>
      <c r="M15" s="17" t="str">
        <f t="shared" si="1"/>
        <v>要回答</v>
      </c>
    </row>
    <row r="16" ht="54.0" customHeight="1" outlineLevel="1">
      <c r="A16" s="18"/>
      <c r="B16" s="18"/>
      <c r="C16" s="18"/>
      <c r="D16" s="18"/>
      <c r="E16" s="18"/>
      <c r="F16" s="18"/>
      <c r="G16" s="19" t="str">
        <f>IF($M$9="✖ 回答不要","【回答不要】 ","")&amp;"  └ 業務情報（個人情報除く）を預託する"&amp;CHAR(10)&amp;"       [サービス名*]"</f>
        <v>  └ 業務情報（個人情報除く）を預託する
       [サービス名*]</v>
      </c>
      <c r="H16" s="14"/>
      <c r="I16" s="15"/>
      <c r="J16" s="16"/>
      <c r="K16" s="16"/>
      <c r="L16" s="20"/>
      <c r="M16" s="17" t="str">
        <f t="shared" si="1"/>
        <v>要回答</v>
      </c>
    </row>
    <row r="17" ht="54.0" customHeight="1" outlineLevel="1">
      <c r="A17" s="18"/>
      <c r="B17" s="18"/>
      <c r="C17" s="18"/>
      <c r="D17" s="18"/>
      <c r="E17" s="18"/>
      <c r="F17" s="18"/>
      <c r="G17" s="19" t="str">
        <f>IF($M$9="✖ 回答不要","【回答不要】 ","")&amp;"  └ 特定個人情報（マイナンバー）を預託する"&amp;CHAR(10)&amp;"       [サービス名*]"</f>
        <v>  └ 特定個人情報（マイナンバー）を預託する
       [サービス名*]</v>
      </c>
      <c r="H17" s="14"/>
      <c r="I17" s="15"/>
      <c r="J17" s="16"/>
      <c r="K17" s="16"/>
      <c r="L17" s="20"/>
      <c r="M17" s="17" t="str">
        <f t="shared" si="1"/>
        <v>要回答</v>
      </c>
    </row>
    <row r="18" ht="54.0" customHeight="1" outlineLevel="1">
      <c r="A18" s="18"/>
      <c r="B18" s="18"/>
      <c r="C18" s="18"/>
      <c r="D18" s="18"/>
      <c r="E18" s="18"/>
      <c r="F18" s="18"/>
      <c r="G18" s="19" t="str">
        <f>IF($M$9="✖ 回答不要","【回答不要】 ","")&amp;"  └ 要配慮個人情報（人種、信条、社会的身分、病歴等の配慮を要する個人情報）を預託する"&amp;CHAR(10)&amp;"       [サービス名*]"</f>
        <v>  └ 要配慮個人情報（人種、信条、社会的身分、病歴等の配慮を要する個人情報）を預託する
       [サービス名*]</v>
      </c>
      <c r="H18" s="14"/>
      <c r="I18" s="15"/>
      <c r="J18" s="16"/>
      <c r="K18" s="16"/>
      <c r="L18" s="20"/>
      <c r="M18" s="17" t="str">
        <f t="shared" si="1"/>
        <v>要回答</v>
      </c>
    </row>
    <row r="19" ht="54.0" customHeight="1" outlineLevel="1">
      <c r="A19" s="18"/>
      <c r="B19" s="18"/>
      <c r="C19" s="18"/>
      <c r="D19" s="18"/>
      <c r="E19" s="18"/>
      <c r="F19" s="18"/>
      <c r="G19" s="19" t="str">
        <f>IF($M$9="✖ 回答不要","【回答不要】 ","")&amp;"  └ 個人データ（個人情報データベース等を構成する個人情報）を預託する"&amp;CHAR(10)&amp;"       [サービス名*]"</f>
        <v>  └ 個人データ（個人情報データベース等を構成する個人情報）を預託する
       [サービス名*]</v>
      </c>
      <c r="H19" s="14"/>
      <c r="I19" s="15"/>
      <c r="J19" s="16"/>
      <c r="K19" s="16"/>
      <c r="L19" s="20"/>
      <c r="M19" s="17" t="str">
        <f t="shared" si="1"/>
        <v>要回答</v>
      </c>
    </row>
    <row r="20" ht="54.0" customHeight="1" outlineLevel="1">
      <c r="A20" s="18"/>
      <c r="B20" s="18"/>
      <c r="C20" s="18"/>
      <c r="D20" s="18"/>
      <c r="E20" s="18"/>
      <c r="F20" s="18"/>
      <c r="G20" s="19" t="str">
        <f>IF($M$9="✖ 回答不要","【回答不要】 ","")&amp;"  └ 上記以外の個人情報を預託する"&amp;CHAR(10)&amp;"       [サービス名*]"</f>
        <v>  └ 上記以外の個人情報を預託する
       [サービス名*]</v>
      </c>
      <c r="H20" s="14"/>
      <c r="I20" s="15"/>
      <c r="J20" s="16"/>
      <c r="K20" s="16"/>
      <c r="L20" s="20"/>
      <c r="M20" s="17" t="str">
        <f t="shared" si="1"/>
        <v>要回答</v>
      </c>
    </row>
    <row r="21" ht="54.0" customHeight="1" outlineLevel="1">
      <c r="A21" s="18"/>
      <c r="B21" s="18"/>
      <c r="C21" s="18"/>
      <c r="D21" s="18"/>
      <c r="E21" s="18"/>
      <c r="F21" s="18"/>
      <c r="G21" s="13" t="str">
        <f>IF($M$9="✖ 回答不要","【回答不要】 ","")&amp;"該当なし"</f>
        <v>該当なし</v>
      </c>
      <c r="H21" s="14"/>
      <c r="I21" s="16"/>
      <c r="J21" s="16"/>
      <c r="K21" s="16"/>
      <c r="L21" s="15"/>
      <c r="M21" s="17" t="str">
        <f t="shared" si="1"/>
        <v>要回答</v>
      </c>
    </row>
    <row r="22" ht="54.0" customHeight="1" outlineLevel="1">
      <c r="A22" s="18"/>
      <c r="B22" s="18"/>
      <c r="C22" s="18"/>
      <c r="D22" s="18"/>
      <c r="E22" s="18"/>
      <c r="F22" s="18"/>
      <c r="G22" s="13" t="str">
        <f>IF($M$9="✖ 回答不要","【回答不要】 ","")&amp;"非公開"</f>
        <v>非公開</v>
      </c>
      <c r="H22" s="14"/>
      <c r="I22" s="16"/>
      <c r="J22" s="16"/>
      <c r="K22" s="16"/>
      <c r="L22" s="15"/>
      <c r="M22" s="17" t="str">
        <f t="shared" si="1"/>
        <v>要回答</v>
      </c>
    </row>
    <row r="23" ht="54.0" customHeight="1" outlineLevel="1">
      <c r="A23" s="8">
        <v>3.0</v>
      </c>
      <c r="B23" s="9" t="str">
        <f>$M$23</f>
        <v>要回答</v>
      </c>
      <c r="C23" s="10" t="s">
        <v>20</v>
      </c>
      <c r="D23" s="10" t="s">
        <v>16</v>
      </c>
      <c r="E23" s="11" t="s">
        <v>21</v>
      </c>
      <c r="F23" s="12" t="str">
        <f>IF($M$23="✖ 回答不要","【この設問は回答不要です】"&amp;CHAR(10),"")&amp;"セキュリティインシデントやサービス停止により、調査対象の業務に影響を与える外部委託先・外部サービスがあれば、その企業名・サービス名を回答ください。"</f>
        <v>セキュリティインシデントやサービス停止により、調査対象の業務に影響を与える外部委託先・外部サービスがあれば、その企業名・サービス名を回答ください。</v>
      </c>
      <c r="G23" s="13" t="str">
        <f>IF($M$23="✖ 回答不要","【回答不要】 ","")&amp;"業務やサービスレベルへの影響度が大きい重要な外部委託先"&amp;CHAR(10)&amp;"   └ [企業名*]"</f>
        <v>業務やサービスレベルへの影響度が大きい重要な外部委託先
   └ [企業名*]</v>
      </c>
      <c r="H23" s="14"/>
      <c r="I23" s="15"/>
      <c r="J23" s="16"/>
      <c r="K23" s="16"/>
      <c r="L23" s="15"/>
      <c r="M23" s="17" t="str">
        <f t="shared" si="1"/>
        <v>要回答</v>
      </c>
    </row>
    <row r="24" ht="54.0" customHeight="1" outlineLevel="1">
      <c r="A24" s="18"/>
      <c r="B24" s="18"/>
      <c r="C24" s="18"/>
      <c r="D24" s="18"/>
      <c r="E24" s="18"/>
      <c r="F24" s="18"/>
      <c r="G24" s="13" t="str">
        <f>IF($M$23="✖ 回答不要","【回答不要】 ","")&amp;"業務やサービスレベルへの影響度が大きい重要な外部サービス"&amp;CHAR(10)&amp;"   └ [サービス名*]"</f>
        <v>業務やサービスレベルへの影響度が大きい重要な外部サービス
   └ [サービス名*]</v>
      </c>
      <c r="H24" s="14"/>
      <c r="I24" s="15"/>
      <c r="J24" s="16"/>
      <c r="K24" s="16"/>
      <c r="L24" s="15"/>
      <c r="M24" s="17" t="str">
        <f t="shared" si="1"/>
        <v>要回答</v>
      </c>
    </row>
    <row r="25" ht="54.0" customHeight="1" outlineLevel="1">
      <c r="A25" s="18"/>
      <c r="B25" s="18"/>
      <c r="C25" s="18"/>
      <c r="D25" s="18"/>
      <c r="E25" s="18"/>
      <c r="F25" s="18"/>
      <c r="G25" s="13" t="str">
        <f>IF($M$23="✖ 回答不要","【回答不要】 ","")&amp;"該当なし"</f>
        <v>該当なし</v>
      </c>
      <c r="H25" s="14"/>
      <c r="I25" s="16"/>
      <c r="J25" s="16"/>
      <c r="K25" s="16"/>
      <c r="L25" s="15"/>
      <c r="M25" s="17" t="str">
        <f t="shared" si="1"/>
        <v>要回答</v>
      </c>
    </row>
    <row r="26" ht="54.0" customHeight="1" outlineLevel="1">
      <c r="A26" s="18"/>
      <c r="B26" s="18"/>
      <c r="C26" s="18"/>
      <c r="D26" s="18"/>
      <c r="E26" s="18"/>
      <c r="F26" s="18"/>
      <c r="G26" s="13" t="str">
        <f>IF($M$23="✖ 回答不要","【回答不要】 ","")&amp;"非公開"</f>
        <v>非公開</v>
      </c>
      <c r="H26" s="14"/>
      <c r="I26" s="16"/>
      <c r="J26" s="16"/>
      <c r="K26" s="16"/>
      <c r="L26" s="15"/>
      <c r="M26" s="17" t="str">
        <f t="shared" si="1"/>
        <v>要回答</v>
      </c>
    </row>
    <row r="27" ht="54.0" customHeight="1" outlineLevel="1">
      <c r="A27" s="8">
        <v>4.0</v>
      </c>
      <c r="B27" s="9" t="str">
        <f>$M$27</f>
        <v>要回答</v>
      </c>
      <c r="C27" s="10" t="s">
        <v>22</v>
      </c>
      <c r="D27" s="10" t="s">
        <v>16</v>
      </c>
      <c r="E27" s="11" t="s">
        <v>23</v>
      </c>
      <c r="F27" s="12" t="str">
        <f>IF($M$27="✖ 回答不要","【この設問は回答不要です】"&amp;CHAR(10),"")&amp;"再委託に関する取り扱いについて、該当する選択肢をすべて選択してください。"</f>
        <v>再委託に関する取り扱いについて、該当する選択肢をすべて選択してください。</v>
      </c>
      <c r="G27" s="13" t="str">
        <f>IF($M$27="✖ 回答不要","【回答不要】 ","")&amp;"再委託を禁止している"</f>
        <v>再委託を禁止している</v>
      </c>
      <c r="H27" s="14"/>
      <c r="I27" s="16"/>
      <c r="J27" s="16"/>
      <c r="K27" s="16"/>
      <c r="L27" s="15"/>
      <c r="M27" s="17" t="str">
        <f t="shared" si="1"/>
        <v>要回答</v>
      </c>
    </row>
    <row r="28" ht="54.0" customHeight="1" outlineLevel="1">
      <c r="A28" s="18"/>
      <c r="B28" s="18"/>
      <c r="C28" s="18"/>
      <c r="D28" s="18"/>
      <c r="E28" s="18"/>
      <c r="F28" s="18"/>
      <c r="G28" s="13" t="str">
        <f>IF($M$27="✖ 回答不要","【回答不要】 ","")&amp;"再委託は可能としているが、再々委託以降は禁止している"</f>
        <v>再委託は可能としているが、再々委託以降は禁止している</v>
      </c>
      <c r="H28" s="14"/>
      <c r="I28" s="16"/>
      <c r="J28" s="16"/>
      <c r="K28" s="16"/>
      <c r="L28" s="15"/>
      <c r="M28" s="17" t="str">
        <f t="shared" si="1"/>
        <v>要回答</v>
      </c>
    </row>
    <row r="29" ht="54.0" customHeight="1" outlineLevel="1">
      <c r="A29" s="18"/>
      <c r="B29" s="18"/>
      <c r="C29" s="18"/>
      <c r="D29" s="18"/>
      <c r="E29" s="18"/>
      <c r="F29" s="18"/>
      <c r="G29" s="13" t="str">
        <f>IF($M$27="✖ 回答不要","【回答不要】 ","")&amp;"再委託先以降の追加・変更時に通知することを契約等で定めている"</f>
        <v>再委託先以降の追加・変更時に通知することを契約等で定めている</v>
      </c>
      <c r="H29" s="14"/>
      <c r="I29" s="16"/>
      <c r="J29" s="16"/>
      <c r="K29" s="16"/>
      <c r="L29" s="15"/>
      <c r="M29" s="17" t="str">
        <f t="shared" si="1"/>
        <v>要回答</v>
      </c>
    </row>
    <row r="30" ht="54.0" customHeight="1" outlineLevel="1">
      <c r="A30" s="18"/>
      <c r="B30" s="18"/>
      <c r="C30" s="18"/>
      <c r="D30" s="18"/>
      <c r="E30" s="18"/>
      <c r="F30" s="18"/>
      <c r="G30" s="13" t="str">
        <f>IF($M$27="✖ 回答不要","【回答不要】 ","")&amp;"該当なし"</f>
        <v>該当なし</v>
      </c>
      <c r="H30" s="14"/>
      <c r="I30" s="16"/>
      <c r="J30" s="16"/>
      <c r="K30" s="16"/>
      <c r="L30" s="15"/>
      <c r="M30" s="17" t="str">
        <f t="shared" si="1"/>
        <v>要回答</v>
      </c>
    </row>
    <row r="31" ht="54.0" customHeight="1" outlineLevel="1">
      <c r="A31" s="18"/>
      <c r="B31" s="18"/>
      <c r="C31" s="18"/>
      <c r="D31" s="18"/>
      <c r="E31" s="18"/>
      <c r="F31" s="18"/>
      <c r="G31" s="13" t="str">
        <f>IF($M$27="✖ 回答不要","【回答不要】 ","")&amp;"非公開"</f>
        <v>非公開</v>
      </c>
      <c r="H31" s="14"/>
      <c r="I31" s="16"/>
      <c r="J31" s="16"/>
      <c r="K31" s="16"/>
      <c r="L31" s="15"/>
      <c r="M31" s="17" t="str">
        <f t="shared" si="1"/>
        <v>要回答</v>
      </c>
    </row>
    <row r="32" ht="54.0" customHeight="1" outlineLevel="1">
      <c r="A32" s="8">
        <v>5.0</v>
      </c>
      <c r="B32" s="9" t="str">
        <f>$M$32</f>
        <v>要回答</v>
      </c>
      <c r="C32" s="10" t="s">
        <v>24</v>
      </c>
      <c r="D32" s="10" t="s">
        <v>16</v>
      </c>
      <c r="E32" s="11" t="s">
        <v>25</v>
      </c>
      <c r="F32" s="12" t="str">
        <f>IF($M$32="✖ 回答不要","【この設問は回答不要です】"&amp;CHAR(10),"")&amp;"調査対象業務を行う場所として、該当するものを選択してください。"</f>
        <v>調査対象業務を行う場所として、該当するものを選択してください。</v>
      </c>
      <c r="G32" s="13" t="str">
        <f>IF($M$32="✖ 回答不要","【回答不要】 ","")&amp;"取引元がセキュリティにおける責任を負う拠点のみで業務を行う"</f>
        <v>取引元がセキュリティにおける責任を負う拠点のみで業務を行う</v>
      </c>
      <c r="H32" s="14"/>
      <c r="I32" s="16"/>
      <c r="J32" s="16"/>
      <c r="K32" s="16"/>
      <c r="L32" s="15"/>
      <c r="M32" s="17" t="str">
        <f t="shared" si="1"/>
        <v>要回答</v>
      </c>
    </row>
    <row r="33" ht="54.0" customHeight="1" outlineLevel="1">
      <c r="A33" s="18"/>
      <c r="B33" s="18"/>
      <c r="C33" s="18"/>
      <c r="D33" s="18"/>
      <c r="E33" s="18"/>
      <c r="F33" s="18"/>
      <c r="G33" s="13" t="str">
        <f>IF($M$32="✖ 回答不要","【回答不要】 ","")&amp;"回答事業者がセキュリティにおける責任を負う拠点のみで業務を行う"</f>
        <v>回答事業者がセキュリティにおける責任を負う拠点のみで業務を行う</v>
      </c>
      <c r="H33" s="14"/>
      <c r="I33" s="16"/>
      <c r="J33" s="16"/>
      <c r="K33" s="16"/>
      <c r="L33" s="15"/>
      <c r="M33" s="17" t="str">
        <f t="shared" si="1"/>
        <v>要回答</v>
      </c>
    </row>
    <row r="34" ht="54.0" customHeight="1" outlineLevel="1">
      <c r="A34" s="18"/>
      <c r="B34" s="18"/>
      <c r="C34" s="18"/>
      <c r="D34" s="18"/>
      <c r="E34" s="18"/>
      <c r="F34" s="18"/>
      <c r="G34" s="13" t="str">
        <f>IF($M$32="✖ 回答不要","【回答不要】 ","")&amp;"取引元と回答事業者の双方の拠点を利用して業務を行う"</f>
        <v>取引元と回答事業者の双方の拠点を利用して業務を行う</v>
      </c>
      <c r="H34" s="14"/>
      <c r="I34" s="16"/>
      <c r="J34" s="16"/>
      <c r="K34" s="16"/>
      <c r="L34" s="15"/>
      <c r="M34" s="17" t="str">
        <f t="shared" si="1"/>
        <v>要回答</v>
      </c>
    </row>
    <row r="35" ht="54.0" customHeight="1" outlineLevel="1">
      <c r="A35" s="8">
        <v>6.0</v>
      </c>
      <c r="B35" s="9" t="str">
        <f>$M$35</f>
        <v>要回答</v>
      </c>
      <c r="C35" s="10" t="s">
        <v>26</v>
      </c>
      <c r="D35" s="10" t="s">
        <v>16</v>
      </c>
      <c r="E35" s="11" t="s">
        <v>27</v>
      </c>
      <c r="F35" s="12" t="str">
        <f>IF($M$35="✖ 回答不要","【この設問は回答不要です】"&amp;CHAR(10),"")&amp;"調査対象業務で利用する端末（PC、スマートフォン等）について、該当するものを選択してください。"</f>
        <v>調査対象業務で利用する端末（PC、スマートフォン等）について、該当するものを選択してください。</v>
      </c>
      <c r="G35" s="13" t="str">
        <f>IF($M$35="✖ 回答不要","【回答不要】 ","")&amp;"取引元がセキュリティにおける責任を負う端末のみで業務を行う"</f>
        <v>取引元がセキュリティにおける責任を負う端末のみで業務を行う</v>
      </c>
      <c r="H35" s="14"/>
      <c r="I35" s="16"/>
      <c r="J35" s="16"/>
      <c r="K35" s="16"/>
      <c r="L35" s="15"/>
      <c r="M35" s="17" t="str">
        <f t="shared" si="1"/>
        <v>要回答</v>
      </c>
    </row>
    <row r="36" ht="54.0" customHeight="1" outlineLevel="1">
      <c r="A36" s="18"/>
      <c r="B36" s="18"/>
      <c r="C36" s="18"/>
      <c r="D36" s="18"/>
      <c r="E36" s="18"/>
      <c r="F36" s="18"/>
      <c r="G36" s="13" t="str">
        <f>IF($M$35="✖ 回答不要","【回答不要】 ","")&amp;"回答事業者がセキュリティにおける責任を負う端末のみで業務を行う"</f>
        <v>回答事業者がセキュリティにおける責任を負う端末のみで業務を行う</v>
      </c>
      <c r="H36" s="14"/>
      <c r="I36" s="16"/>
      <c r="J36" s="16"/>
      <c r="K36" s="16"/>
      <c r="L36" s="15"/>
      <c r="M36" s="17" t="str">
        <f t="shared" si="1"/>
        <v>要回答</v>
      </c>
    </row>
    <row r="37" ht="54.0" customHeight="1" outlineLevel="1">
      <c r="A37" s="18"/>
      <c r="B37" s="18"/>
      <c r="C37" s="18"/>
      <c r="D37" s="18"/>
      <c r="E37" s="18"/>
      <c r="F37" s="18"/>
      <c r="G37" s="13" t="str">
        <f>IF($M$35="✖ 回答不要","【回答不要】 ","")&amp;"取引元と回答事業者の双方の端末を利用して業務を行う"</f>
        <v>取引元と回答事業者の双方の端末を利用して業務を行う</v>
      </c>
      <c r="H37" s="14"/>
      <c r="I37" s="16"/>
      <c r="J37" s="16"/>
      <c r="K37" s="16"/>
      <c r="L37" s="15"/>
      <c r="M37" s="17" t="str">
        <f t="shared" si="1"/>
        <v>要回答</v>
      </c>
    </row>
    <row r="38" ht="54.0" customHeight="1" outlineLevel="1">
      <c r="A38" s="8">
        <v>7.0</v>
      </c>
      <c r="B38" s="9" t="str">
        <f>$M$38</f>
        <v>要回答</v>
      </c>
      <c r="C38" s="10" t="s">
        <v>28</v>
      </c>
      <c r="D38" s="10" t="s">
        <v>16</v>
      </c>
      <c r="E38" s="11" t="s">
        <v>29</v>
      </c>
      <c r="F38" s="12" t="str">
        <f>IF($M$38="✖ 回答不要","【この設問は回答不要です】"&amp;CHAR(10),"")&amp;"調査対象業務で利用するシステム環境（アプリケーション、サーバ、ネットワーク等）について、該当するものを選択してください。"</f>
        <v>調査対象業務で利用するシステム環境（アプリケーション、サーバ、ネットワーク等）について、該当するものを選択してください。</v>
      </c>
      <c r="G38" s="13" t="str">
        <f>IF($M$38="✖ 回答不要","【回答不要】 ","")&amp;"取引元がセキュリティにおける責任を負うシステム環境のみで業務を行う"</f>
        <v>取引元がセキュリティにおける責任を負うシステム環境のみで業務を行う</v>
      </c>
      <c r="H38" s="14"/>
      <c r="I38" s="16"/>
      <c r="J38" s="16"/>
      <c r="K38" s="16"/>
      <c r="L38" s="15"/>
      <c r="M38" s="17" t="str">
        <f t="shared" si="1"/>
        <v>要回答</v>
      </c>
    </row>
    <row r="39" ht="54.0" customHeight="1" outlineLevel="1">
      <c r="A39" s="18"/>
      <c r="B39" s="18"/>
      <c r="C39" s="18"/>
      <c r="D39" s="18"/>
      <c r="E39" s="18"/>
      <c r="F39" s="18"/>
      <c r="G39" s="13" t="str">
        <f>IF($M$38="✖ 回答不要","【回答不要】 ","")&amp;"回答事業者がセキュリティにおける責任を負うシステム環境のみで業務を行う"</f>
        <v>回答事業者がセキュリティにおける責任を負うシステム環境のみで業務を行う</v>
      </c>
      <c r="H39" s="14"/>
      <c r="I39" s="16"/>
      <c r="J39" s="16"/>
      <c r="K39" s="16"/>
      <c r="L39" s="15"/>
      <c r="M39" s="17" t="str">
        <f t="shared" si="1"/>
        <v>要回答</v>
      </c>
    </row>
    <row r="40" ht="54.0" customHeight="1" outlineLevel="1">
      <c r="A40" s="18"/>
      <c r="B40" s="18"/>
      <c r="C40" s="18"/>
      <c r="D40" s="18"/>
      <c r="E40" s="18"/>
      <c r="F40" s="18"/>
      <c r="G40" s="13" t="str">
        <f>IF($M$38="✖ 回答不要","【回答不要】 ","")&amp;"取引元と回答事業者の双方のシステム環境を利用して業務を行う"</f>
        <v>取引元と回答事業者の双方のシステム環境を利用して業務を行う</v>
      </c>
      <c r="H40" s="14"/>
      <c r="I40" s="16"/>
      <c r="J40" s="16"/>
      <c r="K40" s="16"/>
      <c r="L40" s="15"/>
      <c r="M40" s="17" t="str">
        <f t="shared" si="1"/>
        <v>要回答</v>
      </c>
    </row>
    <row r="41" ht="54.0" customHeight="1">
      <c r="A41" s="5"/>
      <c r="B41" s="6"/>
      <c r="C41" s="6"/>
      <c r="D41" s="6"/>
      <c r="E41" s="6"/>
      <c r="F41" s="6"/>
      <c r="G41" s="6"/>
      <c r="H41" s="6"/>
      <c r="I41" s="6"/>
      <c r="J41" s="6"/>
      <c r="K41" s="6"/>
      <c r="L41" s="6"/>
      <c r="M41" s="7"/>
    </row>
    <row r="42" ht="54.0" customHeight="1" outlineLevel="1">
      <c r="A42" s="21">
        <v>8.0</v>
      </c>
      <c r="B42" s="22" t="str">
        <f>$M$42</f>
        <v>要回答</v>
      </c>
      <c r="C42" s="23" t="s">
        <v>30</v>
      </c>
      <c r="D42" s="23" t="s">
        <v>31</v>
      </c>
      <c r="E42" s="24" t="s">
        <v>32</v>
      </c>
      <c r="F42" s="25" t="str">
        <f>IF($M$42="✖ 回答不要","【この設問は回答不要です】"&amp;CHAR(10),"")&amp;"情報セキュリティまたは個人情報保護について取得している第三者による認証や評価をすべて選択してください。"</f>
        <v>情報セキュリティまたは個人情報保護について取得している第三者による認証や評価をすべて選択してください。</v>
      </c>
      <c r="G42" s="26" t="str">
        <f>IF($M$42="✖ 回答不要","【回答不要】 ","")&amp;"ISO/IEC 27001"&amp;CHAR(10)&amp;"   └ [登録番号* / 有効期限* / 範囲*]"</f>
        <v>ISO/IEC 27001
   └ [登録番号* / 有効期限* / 範囲*]</v>
      </c>
      <c r="H42" s="14"/>
      <c r="I42" s="15"/>
      <c r="J42" s="15"/>
      <c r="K42" s="15"/>
      <c r="L42" s="15"/>
      <c r="M42" s="17" t="str">
        <f t="shared" ref="M42:M53" si="2">"要回答"</f>
        <v>要回答</v>
      </c>
    </row>
    <row r="43" ht="54.0" customHeight="1" outlineLevel="1">
      <c r="A43" s="16"/>
      <c r="B43" s="16"/>
      <c r="C43" s="16"/>
      <c r="D43" s="16"/>
      <c r="E43" s="16"/>
      <c r="F43" s="16"/>
      <c r="G43" s="26" t="str">
        <f>IF($M$42="✖ 回答不要","【回答不要】 ","")&amp;"ISO/IEC 27017"&amp;CHAR(10)&amp;"   └ [登録番号* / 有効期限* / 範囲*]"</f>
        <v>ISO/IEC 27017
   └ [登録番号* / 有効期限* / 範囲*]</v>
      </c>
      <c r="H43" s="14"/>
      <c r="I43" s="15"/>
      <c r="J43" s="15"/>
      <c r="K43" s="15"/>
      <c r="L43" s="15"/>
      <c r="M43" s="17" t="str">
        <f t="shared" si="2"/>
        <v>要回答</v>
      </c>
    </row>
    <row r="44" ht="54.0" customHeight="1" outlineLevel="1">
      <c r="A44" s="16"/>
      <c r="B44" s="16"/>
      <c r="C44" s="16"/>
      <c r="D44" s="16"/>
      <c r="E44" s="16"/>
      <c r="F44" s="16"/>
      <c r="G44" s="26" t="str">
        <f>IF($M$42="✖ 回答不要","【回答不要】 ","")&amp;"JISQ 15001"&amp;CHAR(10)&amp;"   └ [登録番号* / 有効期限* / 範囲*]"</f>
        <v>JISQ 15001
   └ [登録番号* / 有効期限* / 範囲*]</v>
      </c>
      <c r="H44" s="14"/>
      <c r="I44" s="15"/>
      <c r="J44" s="15"/>
      <c r="K44" s="15"/>
      <c r="L44" s="15"/>
      <c r="M44" s="17" t="str">
        <f t="shared" si="2"/>
        <v>要回答</v>
      </c>
    </row>
    <row r="45" ht="54.0" customHeight="1" outlineLevel="1">
      <c r="A45" s="16"/>
      <c r="B45" s="16"/>
      <c r="C45" s="16"/>
      <c r="D45" s="16"/>
      <c r="E45" s="16"/>
      <c r="F45" s="16"/>
      <c r="G45" s="26" t="str">
        <f>IF($M$42="✖ 回答不要","【回答不要】 ","")&amp;"プライバシーマーク"&amp;CHAR(10)&amp;"   └ [登録番号* / 有効期限*]"</f>
        <v>プライバシーマーク
   └ [登録番号* / 有効期限*]</v>
      </c>
      <c r="H45" s="14"/>
      <c r="I45" s="15"/>
      <c r="J45" s="15"/>
      <c r="K45" s="16"/>
      <c r="L45" s="15"/>
      <c r="M45" s="17" t="str">
        <f t="shared" si="2"/>
        <v>要回答</v>
      </c>
    </row>
    <row r="46" ht="54.0" customHeight="1" outlineLevel="1">
      <c r="A46" s="16"/>
      <c r="B46" s="16"/>
      <c r="C46" s="16"/>
      <c r="D46" s="16"/>
      <c r="E46" s="16"/>
      <c r="F46" s="16"/>
      <c r="G46" s="26" t="str">
        <f>IF($M$42="✖ 回答不要","【回答不要】 ","")&amp;"SOC2(Type1)"&amp;CHAR(10)&amp;"   └ [取得年月* / 評価日* / 取得範囲*]"</f>
        <v>SOC2(Type1)
   └ [取得年月* / 評価日* / 取得範囲*]</v>
      </c>
      <c r="H46" s="14"/>
      <c r="I46" s="15"/>
      <c r="J46" s="15"/>
      <c r="K46" s="15"/>
      <c r="L46" s="15"/>
      <c r="M46" s="17" t="str">
        <f t="shared" si="2"/>
        <v>要回答</v>
      </c>
    </row>
    <row r="47" ht="54.0" customHeight="1" outlineLevel="1">
      <c r="A47" s="16"/>
      <c r="B47" s="16"/>
      <c r="C47" s="16"/>
      <c r="D47" s="16"/>
      <c r="E47" s="16"/>
      <c r="F47" s="16"/>
      <c r="G47" s="26" t="str">
        <f>IF($M$42="✖ 回答不要","【回答不要】 ","")&amp;"SOC2(Type2)"&amp;CHAR(10)&amp;"   └ [取得年月* / 対象期間* / 取得範囲*]"</f>
        <v>SOC2(Type2)
   └ [取得年月* / 対象期間* / 取得範囲*]</v>
      </c>
      <c r="H47" s="14"/>
      <c r="I47" s="15"/>
      <c r="J47" s="15"/>
      <c r="K47" s="15"/>
      <c r="L47" s="15"/>
      <c r="M47" s="17" t="str">
        <f t="shared" si="2"/>
        <v>要回答</v>
      </c>
    </row>
    <row r="48" ht="54.0" customHeight="1" outlineLevel="1">
      <c r="A48" s="16"/>
      <c r="B48" s="16"/>
      <c r="C48" s="16"/>
      <c r="D48" s="16"/>
      <c r="E48" s="16"/>
      <c r="F48" s="16"/>
      <c r="G48" s="26" t="str">
        <f>IF($M$42="✖ 回答不要","【回答不要】 ","")&amp;"ISMAP"&amp;CHAR(10)&amp;"   └ [登録番号* / 有効期限*]"</f>
        <v>ISMAP
   └ [登録番号* / 有効期限*]</v>
      </c>
      <c r="H48" s="14"/>
      <c r="I48" s="15"/>
      <c r="J48" s="15"/>
      <c r="K48" s="16"/>
      <c r="L48" s="15"/>
      <c r="M48" s="17" t="str">
        <f t="shared" si="2"/>
        <v>要回答</v>
      </c>
    </row>
    <row r="49" ht="54.0" customHeight="1" outlineLevel="1">
      <c r="A49" s="16"/>
      <c r="B49" s="16"/>
      <c r="C49" s="16"/>
      <c r="D49" s="16"/>
      <c r="E49" s="16"/>
      <c r="F49" s="16"/>
      <c r="G49" s="26" t="str">
        <f>IF($M$42="✖ 回答不要","【回答不要】 ","")&amp;"ISMAP-LIU"&amp;CHAR(10)&amp;"   └ [登録番号* / 有効期限*]"</f>
        <v>ISMAP-LIU
   └ [登録番号* / 有効期限*]</v>
      </c>
      <c r="H49" s="14"/>
      <c r="I49" s="15"/>
      <c r="J49" s="15"/>
      <c r="K49" s="16"/>
      <c r="L49" s="15"/>
      <c r="M49" s="17" t="str">
        <f t="shared" si="2"/>
        <v>要回答</v>
      </c>
    </row>
    <row r="50" ht="54.0" customHeight="1" outlineLevel="1">
      <c r="A50" s="16"/>
      <c r="B50" s="16"/>
      <c r="C50" s="16"/>
      <c r="D50" s="16"/>
      <c r="E50" s="16"/>
      <c r="F50" s="16"/>
      <c r="G50" s="26" t="str">
        <f>IF($M$42="✖ 回答不要","【回答不要】 ","")&amp;"データセンターTier"&amp;CHAR(10)&amp;"   └ [Tiers (1-4)]"</f>
        <v>データセンターTier
   └ [Tiers (1-4)]</v>
      </c>
      <c r="H50" s="14"/>
      <c r="I50" s="15"/>
      <c r="J50" s="16"/>
      <c r="K50" s="16"/>
      <c r="L50" s="15"/>
      <c r="M50" s="17" t="str">
        <f t="shared" si="2"/>
        <v>要回答</v>
      </c>
    </row>
    <row r="51" ht="54.0" customHeight="1" outlineLevel="1">
      <c r="A51" s="16"/>
      <c r="B51" s="16"/>
      <c r="C51" s="16"/>
      <c r="D51" s="16"/>
      <c r="E51" s="16"/>
      <c r="F51" s="16"/>
      <c r="G51" s="26" t="str">
        <f>IF($M$42="✖ 回答不要","【回答不要】 ","")&amp;"その他"&amp;CHAR(10)&amp;"   └ [詳細*]"</f>
        <v>その他
   └ [詳細*]</v>
      </c>
      <c r="H51" s="14"/>
      <c r="I51" s="15"/>
      <c r="J51" s="16"/>
      <c r="K51" s="16"/>
      <c r="L51" s="15"/>
      <c r="M51" s="17" t="str">
        <f t="shared" si="2"/>
        <v>要回答</v>
      </c>
    </row>
    <row r="52" ht="54.0" customHeight="1" outlineLevel="1">
      <c r="A52" s="16"/>
      <c r="B52" s="16"/>
      <c r="C52" s="16"/>
      <c r="D52" s="16"/>
      <c r="E52" s="16"/>
      <c r="F52" s="16"/>
      <c r="G52" s="26" t="str">
        <f>IF($M$42="✖ 回答不要","【回答不要】 ","")&amp;"該当なし"</f>
        <v>該当なし</v>
      </c>
      <c r="H52" s="14"/>
      <c r="I52" s="16"/>
      <c r="J52" s="16"/>
      <c r="K52" s="16"/>
      <c r="L52" s="15"/>
      <c r="M52" s="17" t="str">
        <f t="shared" si="2"/>
        <v>要回答</v>
      </c>
    </row>
    <row r="53" ht="54.0" customHeight="1" outlineLevel="1">
      <c r="A53" s="16"/>
      <c r="B53" s="16"/>
      <c r="C53" s="16"/>
      <c r="D53" s="16"/>
      <c r="E53" s="16"/>
      <c r="F53" s="16"/>
      <c r="G53" s="26" t="str">
        <f>IF($M$42="✖ 回答不要","【回答不要】 ","")&amp;"非公開"</f>
        <v>非公開</v>
      </c>
      <c r="H53" s="14"/>
      <c r="I53" s="16"/>
      <c r="J53" s="16"/>
      <c r="K53" s="16"/>
      <c r="L53" s="15"/>
      <c r="M53" s="17" t="str">
        <f t="shared" si="2"/>
        <v>要回答</v>
      </c>
    </row>
    <row r="54" ht="54.0" customHeight="1">
      <c r="A54" s="5"/>
      <c r="B54" s="6"/>
      <c r="C54" s="6"/>
      <c r="D54" s="6"/>
      <c r="E54" s="6"/>
      <c r="F54" s="6"/>
      <c r="G54" s="6"/>
      <c r="H54" s="6"/>
      <c r="I54" s="6"/>
      <c r="J54" s="6"/>
      <c r="K54" s="6"/>
      <c r="L54" s="6"/>
      <c r="M54" s="7"/>
    </row>
    <row r="55" ht="54.0" customHeight="1" outlineLevel="1">
      <c r="A55" s="21">
        <v>9.0</v>
      </c>
      <c r="B55" s="22" t="str">
        <f>$M$55</f>
        <v>要回答</v>
      </c>
      <c r="C55" s="23" t="s">
        <v>30</v>
      </c>
      <c r="D55" s="23" t="s">
        <v>33</v>
      </c>
      <c r="E55" s="24" t="s">
        <v>34</v>
      </c>
      <c r="F55" s="25" t="str">
        <f>IF($M$55="✖ 回答不要","【この設問は回答不要です】"&amp;CHAR(10),"")&amp;"過去2年間にホームページ等で公表、または監督省庁や認証機関等へ報告するレベルのセキュリティインシデントがありましたか。"</f>
        <v>過去2年間にホームページ等で公表、または監督省庁や認証機関等へ報告するレベルのセキュリティインシデントがありましたか。</v>
      </c>
      <c r="G55" s="26" t="str">
        <f>IF($M$55="✖ 回答不要","【回答不要】 ","")&amp;"はい"&amp;CHAR(10)&amp;"   └ [詳細*]"</f>
        <v>はい
   └ [詳細*]</v>
      </c>
      <c r="H55" s="14"/>
      <c r="I55" s="15"/>
      <c r="J55" s="16"/>
      <c r="K55" s="16"/>
      <c r="L55" s="15"/>
      <c r="M55" s="17" t="str">
        <f t="shared" ref="M55:M57" si="3">"要回答"</f>
        <v>要回答</v>
      </c>
    </row>
    <row r="56" ht="54.0" customHeight="1" outlineLevel="1">
      <c r="A56" s="16"/>
      <c r="B56" s="16"/>
      <c r="C56" s="16"/>
      <c r="D56" s="16"/>
      <c r="E56" s="16"/>
      <c r="F56" s="16"/>
      <c r="G56" s="26" t="str">
        <f>IF($M$55="✖ 回答不要","【回答不要】 ","")&amp;"いいえ"</f>
        <v>いいえ</v>
      </c>
      <c r="H56" s="14"/>
      <c r="I56" s="16"/>
      <c r="J56" s="16"/>
      <c r="K56" s="16"/>
      <c r="L56" s="15"/>
      <c r="M56" s="17" t="str">
        <f t="shared" si="3"/>
        <v>要回答</v>
      </c>
    </row>
    <row r="57" ht="54.0" customHeight="1" outlineLevel="1">
      <c r="A57" s="16"/>
      <c r="B57" s="16"/>
      <c r="C57" s="16"/>
      <c r="D57" s="16"/>
      <c r="E57" s="16"/>
      <c r="F57" s="16"/>
      <c r="G57" s="26" t="str">
        <f>IF($M$55="✖ 回答不要","【回答不要】 ","")&amp;"非公開"</f>
        <v>非公開</v>
      </c>
      <c r="H57" s="14"/>
      <c r="I57" s="16"/>
      <c r="J57" s="16"/>
      <c r="K57" s="16"/>
      <c r="L57" s="15"/>
      <c r="M57" s="17" t="str">
        <f t="shared" si="3"/>
        <v>要回答</v>
      </c>
    </row>
    <row r="58" ht="54.0" customHeight="1">
      <c r="A58" s="5"/>
      <c r="B58" s="6"/>
      <c r="C58" s="6"/>
      <c r="D58" s="6"/>
      <c r="E58" s="6"/>
      <c r="F58" s="6"/>
      <c r="G58" s="6"/>
      <c r="H58" s="6"/>
      <c r="I58" s="6"/>
      <c r="J58" s="6"/>
      <c r="K58" s="6"/>
      <c r="L58" s="6"/>
      <c r="M58" s="7"/>
    </row>
    <row r="59" ht="54.0" customHeight="1" outlineLevel="1">
      <c r="A59" s="21">
        <v>10.0</v>
      </c>
      <c r="B59" s="22" t="str">
        <f>$M$59</f>
        <v>要回答</v>
      </c>
      <c r="C59" s="23" t="s">
        <v>30</v>
      </c>
      <c r="D59" s="23" t="s">
        <v>35</v>
      </c>
      <c r="E59" s="24" t="s">
        <v>36</v>
      </c>
      <c r="F59" s="25" t="str">
        <f>IF($M$59="✖ 回答不要","【この設問は回答不要です】"&amp;CHAR(10),"")&amp;"個人情報保護に関して対応しているものをすべて選択してください。"</f>
        <v>個人情報保護に関して対応しているものをすべて選択してください。</v>
      </c>
      <c r="G59" s="26" t="str">
        <f>IF($M$59="✖ 回答不要","【回答不要】 ","")&amp;"個人情報保護法"</f>
        <v>個人情報保護法</v>
      </c>
      <c r="H59" s="14"/>
      <c r="I59" s="16"/>
      <c r="J59" s="16"/>
      <c r="K59" s="16"/>
      <c r="L59" s="15"/>
      <c r="M59" s="17" t="str">
        <f t="shared" ref="M59:M64" si="4">"要回答"</f>
        <v>要回答</v>
      </c>
    </row>
    <row r="60" ht="54.0" customHeight="1" outlineLevel="1">
      <c r="A60" s="16"/>
      <c r="B60" s="16"/>
      <c r="C60" s="16"/>
      <c r="D60" s="16"/>
      <c r="E60" s="16"/>
      <c r="F60" s="16"/>
      <c r="G60" s="26" t="str">
        <f>IF($M$59="✖ 回答不要","【回答不要】 ","")&amp;"カリフォルニア州法（CCPA/CPRA）"</f>
        <v>カリフォルニア州法（CCPA/CPRA）</v>
      </c>
      <c r="H60" s="14"/>
      <c r="I60" s="16"/>
      <c r="J60" s="16"/>
      <c r="K60" s="16"/>
      <c r="L60" s="15"/>
      <c r="M60" s="17" t="str">
        <f t="shared" si="4"/>
        <v>要回答</v>
      </c>
    </row>
    <row r="61" ht="54.0" customHeight="1" outlineLevel="1">
      <c r="A61" s="16"/>
      <c r="B61" s="16"/>
      <c r="C61" s="16"/>
      <c r="D61" s="16"/>
      <c r="E61" s="16"/>
      <c r="F61" s="16"/>
      <c r="G61" s="26" t="str">
        <f>IF($M$59="✖ 回答不要","【回答不要】 ","")&amp;"EU一般データ保護規則（GDPR）"</f>
        <v>EU一般データ保護規則（GDPR）</v>
      </c>
      <c r="H61" s="14"/>
      <c r="I61" s="16"/>
      <c r="J61" s="16"/>
      <c r="K61" s="16"/>
      <c r="L61" s="15"/>
      <c r="M61" s="17" t="str">
        <f t="shared" si="4"/>
        <v>要回答</v>
      </c>
    </row>
    <row r="62" ht="54.0" customHeight="1" outlineLevel="1">
      <c r="A62" s="16"/>
      <c r="B62" s="16"/>
      <c r="C62" s="16"/>
      <c r="D62" s="16"/>
      <c r="E62" s="16"/>
      <c r="F62" s="16"/>
      <c r="G62" s="26" t="str">
        <f>IF($M$59="✖ 回答不要","【回答不要】 ","")&amp;"その他"&amp;CHAR(10)&amp;"   └ [詳細*]"</f>
        <v>その他
   └ [詳細*]</v>
      </c>
      <c r="H62" s="14"/>
      <c r="I62" s="15"/>
      <c r="J62" s="16"/>
      <c r="K62" s="16"/>
      <c r="L62" s="15"/>
      <c r="M62" s="17" t="str">
        <f t="shared" si="4"/>
        <v>要回答</v>
      </c>
    </row>
    <row r="63" ht="54.0" customHeight="1" outlineLevel="1">
      <c r="A63" s="16"/>
      <c r="B63" s="16"/>
      <c r="C63" s="16"/>
      <c r="D63" s="16"/>
      <c r="E63" s="16"/>
      <c r="F63" s="16"/>
      <c r="G63" s="26" t="str">
        <f>IF($M$59="✖ 回答不要","【回答不要】 ","")&amp;"該当なし"</f>
        <v>該当なし</v>
      </c>
      <c r="H63" s="14"/>
      <c r="I63" s="16"/>
      <c r="J63" s="16"/>
      <c r="K63" s="16"/>
      <c r="L63" s="15"/>
      <c r="M63" s="17" t="str">
        <f t="shared" si="4"/>
        <v>要回答</v>
      </c>
    </row>
    <row r="64" ht="54.0" customHeight="1" outlineLevel="1">
      <c r="A64" s="16"/>
      <c r="B64" s="16"/>
      <c r="C64" s="16"/>
      <c r="D64" s="16"/>
      <c r="E64" s="16"/>
      <c r="F64" s="16"/>
      <c r="G64" s="26" t="str">
        <f>IF($M$59="✖ 回答不要","【回答不要】 ","")&amp;"非公開"</f>
        <v>非公開</v>
      </c>
      <c r="H64" s="14"/>
      <c r="I64" s="16"/>
      <c r="J64" s="16"/>
      <c r="K64" s="16"/>
      <c r="L64" s="15"/>
      <c r="M64" s="17" t="str">
        <f t="shared" si="4"/>
        <v>要回答</v>
      </c>
    </row>
    <row r="65" ht="54.0" customHeight="1">
      <c r="A65" s="5"/>
      <c r="B65" s="6"/>
      <c r="C65" s="6"/>
      <c r="D65" s="6"/>
      <c r="E65" s="6"/>
      <c r="F65" s="6"/>
      <c r="G65" s="6"/>
      <c r="H65" s="6"/>
      <c r="I65" s="6"/>
      <c r="J65" s="6"/>
      <c r="K65" s="6"/>
      <c r="L65" s="6"/>
      <c r="M65" s="7"/>
    </row>
    <row r="66" ht="54.0" customHeight="1" outlineLevel="1">
      <c r="A66" s="21">
        <v>11.0</v>
      </c>
      <c r="B66" s="22" t="str">
        <f>$M$66</f>
        <v>要回答</v>
      </c>
      <c r="C66" s="23" t="s">
        <v>30</v>
      </c>
      <c r="D66" s="23" t="s">
        <v>37</v>
      </c>
      <c r="E66" s="24" t="s">
        <v>38</v>
      </c>
      <c r="F66" s="25" t="str">
        <f>IF($M$66="✖ 回答不要","【この設問は回答不要です】"&amp;CHAR(10),"")&amp;"情報セキュリティについて企業としての基本方針や規程類を定めていますか。"</f>
        <v>情報セキュリティについて企業としての基本方針や規程類を定めていますか。</v>
      </c>
      <c r="G66" s="26" t="str">
        <f>IF($M$66="✖ 回答不要","【回答不要】 ","")&amp;"情報セキュリティに関する基本方針（情報セキュリティポリシー等）を策定している"</f>
        <v>情報セキュリティに関する基本方針（情報セキュリティポリシー等）を策定している</v>
      </c>
      <c r="H66" s="14"/>
      <c r="I66" s="16"/>
      <c r="J66" s="16"/>
      <c r="K66" s="16"/>
      <c r="L66" s="15"/>
      <c r="M66" s="17" t="str">
        <f t="shared" ref="M66:M95" si="5">"要回答"</f>
        <v>要回答</v>
      </c>
    </row>
    <row r="67" ht="54.0" customHeight="1" outlineLevel="1">
      <c r="A67" s="16"/>
      <c r="B67" s="16"/>
      <c r="C67" s="16"/>
      <c r="D67" s="16"/>
      <c r="E67" s="16"/>
      <c r="F67" s="16"/>
      <c r="G67" s="26" t="str">
        <f>IF($M$66="✖ 回答不要","【回答不要】 ","")&amp;"情報セキュリティに関する規程類（対策基準やガイドライン等）を策定している"</f>
        <v>情報セキュリティに関する規程類（対策基準やガイドライン等）を策定している</v>
      </c>
      <c r="H67" s="14"/>
      <c r="I67" s="16"/>
      <c r="J67" s="16"/>
      <c r="K67" s="16"/>
      <c r="L67" s="15"/>
      <c r="M67" s="17" t="str">
        <f t="shared" si="5"/>
        <v>要回答</v>
      </c>
    </row>
    <row r="68" ht="54.0" customHeight="1" outlineLevel="1">
      <c r="A68" s="16"/>
      <c r="B68" s="16"/>
      <c r="C68" s="16"/>
      <c r="D68" s="16"/>
      <c r="E68" s="16"/>
      <c r="F68" s="16"/>
      <c r="G68" s="26" t="str">
        <f>IF($M$66="✖ 回答不要","【回答不要】 ","")&amp;"情報セキュリティに関する基本方針や規程類について、定期的な見直しを実施している"</f>
        <v>情報セキュリティに関する基本方針や規程類について、定期的な見直しを実施している</v>
      </c>
      <c r="H68" s="14"/>
      <c r="I68" s="16"/>
      <c r="J68" s="16"/>
      <c r="K68" s="16"/>
      <c r="L68" s="15"/>
      <c r="M68" s="17" t="str">
        <f t="shared" si="5"/>
        <v>要回答</v>
      </c>
    </row>
    <row r="69" ht="54.0" customHeight="1" outlineLevel="1">
      <c r="A69" s="16"/>
      <c r="B69" s="16"/>
      <c r="C69" s="16"/>
      <c r="D69" s="16"/>
      <c r="E69" s="16"/>
      <c r="F69" s="16"/>
      <c r="G69" s="26" t="str">
        <f>IF($M$66="✖ 回答不要","【回答不要】 ","")&amp;"該当なし"</f>
        <v>該当なし</v>
      </c>
      <c r="H69" s="14"/>
      <c r="I69" s="16"/>
      <c r="J69" s="16"/>
      <c r="K69" s="16"/>
      <c r="L69" s="15"/>
      <c r="M69" s="17" t="str">
        <f t="shared" si="5"/>
        <v>要回答</v>
      </c>
    </row>
    <row r="70" ht="54.0" customHeight="1" outlineLevel="1">
      <c r="A70" s="16"/>
      <c r="B70" s="16"/>
      <c r="C70" s="16"/>
      <c r="D70" s="16"/>
      <c r="E70" s="16"/>
      <c r="F70" s="16"/>
      <c r="G70" s="26" t="str">
        <f>IF($M$66="✖ 回答不要","【回答不要】 ","")&amp;"非公開"</f>
        <v>非公開</v>
      </c>
      <c r="H70" s="14"/>
      <c r="I70" s="16"/>
      <c r="J70" s="16"/>
      <c r="K70" s="16"/>
      <c r="L70" s="15"/>
      <c r="M70" s="17" t="str">
        <f t="shared" si="5"/>
        <v>要回答</v>
      </c>
    </row>
    <row r="71" ht="54.0" customHeight="1" outlineLevel="1">
      <c r="A71" s="21">
        <v>12.0</v>
      </c>
      <c r="B71" s="22" t="str">
        <f>$M$71</f>
        <v>要回答</v>
      </c>
      <c r="C71" s="23" t="s">
        <v>30</v>
      </c>
      <c r="D71" s="23" t="s">
        <v>37</v>
      </c>
      <c r="E71" s="24" t="s">
        <v>39</v>
      </c>
      <c r="F71" s="25" t="str">
        <f>IF($M$71="✖ 回答不要","【この設問は回答不要です】"&amp;CHAR(10),"")&amp;"情報セキュリティを管理・推進するための責任者や組織体制が定められていますか。該当する選択肢をすべて選択してください。"</f>
        <v>情報セキュリティを管理・推進するための責任者や組織体制が定められていますか。該当する選択肢をすべて選択してください。</v>
      </c>
      <c r="G71" s="26" t="str">
        <f>IF($M$71="✖ 回答不要","【回答不要】 ","")&amp;"情報セキュリティ管理の責任者を定め、職務範囲や権限、責任について定めている"</f>
        <v>情報セキュリティ管理の責任者を定め、職務範囲や権限、責任について定めている</v>
      </c>
      <c r="H71" s="14"/>
      <c r="I71" s="16"/>
      <c r="J71" s="16"/>
      <c r="K71" s="16"/>
      <c r="L71" s="15"/>
      <c r="M71" s="17" t="str">
        <f t="shared" si="5"/>
        <v>要回答</v>
      </c>
    </row>
    <row r="72" ht="54.0" customHeight="1" outlineLevel="1">
      <c r="A72" s="16"/>
      <c r="B72" s="16"/>
      <c r="C72" s="16"/>
      <c r="D72" s="16"/>
      <c r="E72" s="16"/>
      <c r="F72" s="16"/>
      <c r="G72" s="26" t="str">
        <f>IF($M$71="✖ 回答不要","【回答不要】 ","")&amp;"情報セキュリティ管理に関する関係部署や業務、機能を明らかにしている"</f>
        <v>情報セキュリティ管理に関する関係部署や業務、機能を明らかにしている</v>
      </c>
      <c r="H72" s="14"/>
      <c r="I72" s="16"/>
      <c r="J72" s="16"/>
      <c r="K72" s="16"/>
      <c r="L72" s="15"/>
      <c r="M72" s="17" t="str">
        <f t="shared" si="5"/>
        <v>要回答</v>
      </c>
    </row>
    <row r="73" ht="54.0" customHeight="1" outlineLevel="1">
      <c r="A73" s="16"/>
      <c r="B73" s="16"/>
      <c r="C73" s="16"/>
      <c r="D73" s="16"/>
      <c r="E73" s="16"/>
      <c r="F73" s="16"/>
      <c r="G73" s="27" t="str">
        <f>IF($M$71="✖ 回答不要","【回答不要】 ","")&amp;"  └ セキュリティリスク管理、対策推進を行う体制の整備"</f>
        <v>  └ セキュリティリスク管理、対策推進を行う体制の整備</v>
      </c>
      <c r="H73" s="14"/>
      <c r="I73" s="16"/>
      <c r="J73" s="16"/>
      <c r="K73" s="16"/>
      <c r="L73" s="20"/>
      <c r="M73" s="17" t="str">
        <f t="shared" si="5"/>
        <v>要回答</v>
      </c>
    </row>
    <row r="74" ht="54.0" customHeight="1" outlineLevel="1">
      <c r="A74" s="16"/>
      <c r="B74" s="16"/>
      <c r="C74" s="16"/>
      <c r="D74" s="16"/>
      <c r="E74" s="16"/>
      <c r="F74" s="16"/>
      <c r="G74" s="27" t="str">
        <f>IF($M$71="✖ 回答不要","【回答不要】 ","")&amp;"  └ 脅威分析や情報収集を実施する脅威インテリジェンス体制の整備"</f>
        <v>  └ 脅威分析や情報収集を実施する脅威インテリジェンス体制の整備</v>
      </c>
      <c r="H74" s="14"/>
      <c r="I74" s="16"/>
      <c r="J74" s="16"/>
      <c r="K74" s="16"/>
      <c r="L74" s="20"/>
      <c r="M74" s="17" t="str">
        <f t="shared" si="5"/>
        <v>要回答</v>
      </c>
    </row>
    <row r="75" ht="54.0" customHeight="1" outlineLevel="1">
      <c r="A75" s="16"/>
      <c r="B75" s="16"/>
      <c r="C75" s="16"/>
      <c r="D75" s="16"/>
      <c r="E75" s="16"/>
      <c r="F75" s="16"/>
      <c r="G75" s="27" t="str">
        <f>IF($M$71="✖ 回答不要","【回答不要】 ","")&amp;"  └ サイバー攻撃に対する監視体制の整備（SOC等 ※MSSなど外部のリソース活用を含む）"</f>
        <v>  └ サイバー攻撃に対する監視体制の整備（SOC等 ※MSSなど外部のリソース活用を含む）</v>
      </c>
      <c r="H75" s="14"/>
      <c r="I75" s="16"/>
      <c r="J75" s="16"/>
      <c r="K75" s="16"/>
      <c r="L75" s="20"/>
      <c r="M75" s="17" t="str">
        <f t="shared" si="5"/>
        <v>要回答</v>
      </c>
    </row>
    <row r="76" ht="54.0" customHeight="1" outlineLevel="1">
      <c r="A76" s="16"/>
      <c r="B76" s="16"/>
      <c r="C76" s="16"/>
      <c r="D76" s="16"/>
      <c r="E76" s="16"/>
      <c r="F76" s="16"/>
      <c r="G76" s="27" t="str">
        <f>IF($M$71="✖ 回答不要","【回答不要】 ","")&amp;"  └ セキュリティインシデントが発生した場合の対応体制の整備（CSIRT等）"</f>
        <v>  └ セキュリティインシデントが発生した場合の対応体制の整備（CSIRT等）</v>
      </c>
      <c r="H76" s="14"/>
      <c r="I76" s="16"/>
      <c r="J76" s="16"/>
      <c r="K76" s="16"/>
      <c r="L76" s="20"/>
      <c r="M76" s="17" t="str">
        <f t="shared" si="5"/>
        <v>要回答</v>
      </c>
    </row>
    <row r="77" ht="54.0" customHeight="1" outlineLevel="1">
      <c r="A77" s="16"/>
      <c r="B77" s="16"/>
      <c r="C77" s="16"/>
      <c r="D77" s="16"/>
      <c r="E77" s="16"/>
      <c r="F77" s="16"/>
      <c r="G77" s="27" t="str">
        <f>IF($M$71="✖ 回答不要","【回答不要】 ","")&amp;"  └ その他"&amp;CHAR(10)&amp;"       [詳細*]"</f>
        <v>  └ その他
       [詳細*]</v>
      </c>
      <c r="H77" s="14"/>
      <c r="I77" s="15"/>
      <c r="J77" s="16"/>
      <c r="K77" s="16"/>
      <c r="L77" s="20"/>
      <c r="M77" s="17" t="str">
        <f t="shared" si="5"/>
        <v>要回答</v>
      </c>
    </row>
    <row r="78" ht="54.0" customHeight="1" outlineLevel="1">
      <c r="A78" s="16"/>
      <c r="B78" s="16"/>
      <c r="C78" s="16"/>
      <c r="D78" s="16"/>
      <c r="E78" s="16"/>
      <c r="F78" s="16"/>
      <c r="G78" s="26" t="str">
        <f>IF($M$71="✖ 回答不要","【回答不要】 ","")&amp;"情報セキュリティ体制について、通常時だけでなく有事を想定した役割や責任を定めている"</f>
        <v>情報セキュリティ体制について、通常時だけでなく有事を想定した役割や責任を定めている</v>
      </c>
      <c r="H78" s="14"/>
      <c r="I78" s="16"/>
      <c r="J78" s="16"/>
      <c r="K78" s="16"/>
      <c r="L78" s="15"/>
      <c r="M78" s="17" t="str">
        <f t="shared" si="5"/>
        <v>要回答</v>
      </c>
    </row>
    <row r="79" ht="54.0" customHeight="1" outlineLevel="1">
      <c r="A79" s="16"/>
      <c r="B79" s="16"/>
      <c r="C79" s="16"/>
      <c r="D79" s="16"/>
      <c r="E79" s="16"/>
      <c r="F79" s="16"/>
      <c r="G79" s="26" t="str">
        <f>IF($M$71="✖ 回答不要","【回答不要】 ","")&amp;"セキュリティ人材の育成・確保のための計画を策定している"</f>
        <v>セキュリティ人材の育成・確保のための計画を策定している</v>
      </c>
      <c r="H79" s="14"/>
      <c r="I79" s="16"/>
      <c r="J79" s="16"/>
      <c r="K79" s="16"/>
      <c r="L79" s="15"/>
      <c r="M79" s="17" t="str">
        <f t="shared" si="5"/>
        <v>要回答</v>
      </c>
    </row>
    <row r="80" ht="54.0" customHeight="1" outlineLevel="1">
      <c r="A80" s="16"/>
      <c r="B80" s="16"/>
      <c r="C80" s="16"/>
      <c r="D80" s="16"/>
      <c r="E80" s="16"/>
      <c r="F80" s="16"/>
      <c r="G80" s="26" t="str">
        <f>IF($M$71="✖ 回答不要","【回答不要】 ","")&amp;"自社の責任範囲と外部委託先や外部サービスとの責任範囲を明確にしている"</f>
        <v>自社の責任範囲と外部委託先や外部サービスとの責任範囲を明確にしている</v>
      </c>
      <c r="H80" s="14"/>
      <c r="I80" s="16"/>
      <c r="J80" s="16"/>
      <c r="K80" s="16"/>
      <c r="L80" s="15"/>
      <c r="M80" s="17" t="str">
        <f t="shared" si="5"/>
        <v>要回答</v>
      </c>
    </row>
    <row r="81" ht="54.0" customHeight="1" outlineLevel="1">
      <c r="A81" s="16"/>
      <c r="B81" s="16"/>
      <c r="C81" s="16"/>
      <c r="D81" s="16"/>
      <c r="E81" s="16"/>
      <c r="F81" s="16"/>
      <c r="G81" s="26" t="str">
        <f>IF($M$71="✖ 回答不要","【回答不要】 ","")&amp;"該当なし"</f>
        <v>該当なし</v>
      </c>
      <c r="H81" s="14"/>
      <c r="I81" s="16"/>
      <c r="J81" s="16"/>
      <c r="K81" s="16"/>
      <c r="L81" s="15"/>
      <c r="M81" s="17" t="str">
        <f t="shared" si="5"/>
        <v>要回答</v>
      </c>
    </row>
    <row r="82" ht="54.0" customHeight="1" outlineLevel="1">
      <c r="A82" s="16"/>
      <c r="B82" s="16"/>
      <c r="C82" s="16"/>
      <c r="D82" s="16"/>
      <c r="E82" s="16"/>
      <c r="F82" s="16"/>
      <c r="G82" s="26" t="str">
        <f>IF($M$71="✖ 回答不要","【回答不要】 ","")&amp;"非公開"</f>
        <v>非公開</v>
      </c>
      <c r="H82" s="14"/>
      <c r="I82" s="16"/>
      <c r="J82" s="16"/>
      <c r="K82" s="16"/>
      <c r="L82" s="15"/>
      <c r="M82" s="17" t="str">
        <f t="shared" si="5"/>
        <v>要回答</v>
      </c>
    </row>
    <row r="83" ht="54.0" customHeight="1" outlineLevel="1">
      <c r="A83" s="21">
        <v>13.0</v>
      </c>
      <c r="B83" s="22" t="str">
        <f>$M$83</f>
        <v>要回答</v>
      </c>
      <c r="C83" s="23" t="s">
        <v>30</v>
      </c>
      <c r="D83" s="23" t="s">
        <v>37</v>
      </c>
      <c r="E83" s="24" t="s">
        <v>40</v>
      </c>
      <c r="F83" s="25" t="str">
        <f>IF($M$83="✖ 回答不要","【この設問は回答不要です】"&amp;CHAR(10),"")&amp;"セキュリティリスク管理として実施していることをすべて選択してください。"</f>
        <v>セキュリティリスク管理として実施していることをすべて選択してください。</v>
      </c>
      <c r="G83" s="26" t="str">
        <f>IF($M$83="✖ 回答不要","【回答不要】 ","")&amp;"セキュリティリスクの管理プロセスを策定している"</f>
        <v>セキュリティリスクの管理プロセスを策定している</v>
      </c>
      <c r="H83" s="14"/>
      <c r="I83" s="16"/>
      <c r="J83" s="16"/>
      <c r="K83" s="16"/>
      <c r="L83" s="15"/>
      <c r="M83" s="17" t="str">
        <f t="shared" si="5"/>
        <v>要回答</v>
      </c>
    </row>
    <row r="84" ht="54.0" customHeight="1" outlineLevel="1">
      <c r="A84" s="16"/>
      <c r="B84" s="16"/>
      <c r="C84" s="16"/>
      <c r="D84" s="16"/>
      <c r="E84" s="16"/>
      <c r="F84" s="16"/>
      <c r="G84" s="27" t="str">
        <f>IF($M$83="✖ 回答不要","【回答不要】 ","")&amp;"  └ セキュリティリスクの特定と評価に関する手続"</f>
        <v>  └ セキュリティリスクの特定と評価に関する手続</v>
      </c>
      <c r="H84" s="14"/>
      <c r="I84" s="16"/>
      <c r="J84" s="16"/>
      <c r="K84" s="16"/>
      <c r="L84" s="20"/>
      <c r="M84" s="17" t="str">
        <f t="shared" si="5"/>
        <v>要回答</v>
      </c>
    </row>
    <row r="85" ht="54.0" customHeight="1" outlineLevel="1">
      <c r="A85" s="16"/>
      <c r="B85" s="16"/>
      <c r="C85" s="16"/>
      <c r="D85" s="16"/>
      <c r="E85" s="16"/>
      <c r="F85" s="16"/>
      <c r="G85" s="27" t="str">
        <f>IF($M$83="✖ 回答不要","【回答不要】 ","")&amp;"  └ リスク対応における標準的な対応手続と例外的な対応手続"</f>
        <v>  └ リスク対応における標準的な対応手続と例外的な対応手続</v>
      </c>
      <c r="H85" s="14"/>
      <c r="I85" s="16"/>
      <c r="J85" s="16"/>
      <c r="K85" s="16"/>
      <c r="L85" s="20"/>
      <c r="M85" s="17" t="str">
        <f t="shared" si="5"/>
        <v>要回答</v>
      </c>
    </row>
    <row r="86" ht="54.0" customHeight="1" outlineLevel="1">
      <c r="A86" s="16"/>
      <c r="B86" s="16"/>
      <c r="C86" s="16"/>
      <c r="D86" s="16"/>
      <c r="E86" s="16"/>
      <c r="F86" s="16"/>
      <c r="G86" s="27" t="str">
        <f>IF($M$83="✖ 回答不要","【回答不要】 ","")&amp;"  └ その他"&amp;CHAR(10)&amp;"       [詳細]"</f>
        <v>  └ その他
       [詳細]</v>
      </c>
      <c r="H86" s="14"/>
      <c r="I86" s="15"/>
      <c r="J86" s="16"/>
      <c r="K86" s="16"/>
      <c r="L86" s="20"/>
      <c r="M86" s="17" t="str">
        <f t="shared" si="5"/>
        <v>要回答</v>
      </c>
    </row>
    <row r="87" ht="54.0" customHeight="1" outlineLevel="1">
      <c r="A87" s="16"/>
      <c r="B87" s="16"/>
      <c r="C87" s="16"/>
      <c r="D87" s="16"/>
      <c r="E87" s="16"/>
      <c r="F87" s="16"/>
      <c r="G87" s="26" t="str">
        <f>IF($M$83="✖ 回答不要","【回答不要】 ","")&amp;"セキュリティリスクへの対応計画を策定している"</f>
        <v>セキュリティリスクへの対応計画を策定している</v>
      </c>
      <c r="H87" s="14"/>
      <c r="I87" s="16"/>
      <c r="J87" s="16"/>
      <c r="K87" s="16"/>
      <c r="L87" s="15"/>
      <c r="M87" s="17" t="str">
        <f t="shared" si="5"/>
        <v>要回答</v>
      </c>
    </row>
    <row r="88" ht="54.0" customHeight="1" outlineLevel="1">
      <c r="A88" s="16"/>
      <c r="B88" s="16"/>
      <c r="C88" s="16"/>
      <c r="D88" s="16"/>
      <c r="E88" s="16"/>
      <c r="F88" s="16"/>
      <c r="G88" s="26" t="str">
        <f>IF($M$83="✖ 回答不要","【回答不要】 ","")&amp;"経営層に対応進捗・結果などが報告されている"</f>
        <v>経営層に対応進捗・結果などが報告されている</v>
      </c>
      <c r="H88" s="14"/>
      <c r="I88" s="16"/>
      <c r="J88" s="16"/>
      <c r="K88" s="16"/>
      <c r="L88" s="15"/>
      <c r="M88" s="17" t="str">
        <f t="shared" si="5"/>
        <v>要回答</v>
      </c>
    </row>
    <row r="89" ht="54.0" customHeight="1" outlineLevel="1">
      <c r="A89" s="16"/>
      <c r="B89" s="16"/>
      <c r="C89" s="16"/>
      <c r="D89" s="16"/>
      <c r="E89" s="16"/>
      <c r="F89" s="16"/>
      <c r="G89" s="26" t="str">
        <f>IF($M$83="✖ 回答不要","【回答不要】 ","")&amp;"定期的なセキュリティリスク評価を行っている"</f>
        <v>定期的なセキュリティリスク評価を行っている</v>
      </c>
      <c r="H89" s="14"/>
      <c r="I89" s="16"/>
      <c r="J89" s="16"/>
      <c r="K89" s="16"/>
      <c r="L89" s="15"/>
      <c r="M89" s="17" t="str">
        <f t="shared" si="5"/>
        <v>要回答</v>
      </c>
    </row>
    <row r="90" ht="54.0" customHeight="1" outlineLevel="1">
      <c r="A90" s="16"/>
      <c r="B90" s="16"/>
      <c r="C90" s="16"/>
      <c r="D90" s="16"/>
      <c r="E90" s="16"/>
      <c r="F90" s="16"/>
      <c r="G90" s="26" t="str">
        <f>IF($M$83="✖ 回答不要","【回答不要】 ","")&amp;"該当なし"</f>
        <v>該当なし</v>
      </c>
      <c r="H90" s="14"/>
      <c r="I90" s="16"/>
      <c r="J90" s="16"/>
      <c r="K90" s="16"/>
      <c r="L90" s="15"/>
      <c r="M90" s="17" t="str">
        <f t="shared" si="5"/>
        <v>要回答</v>
      </c>
    </row>
    <row r="91" ht="54.0" customHeight="1" outlineLevel="1">
      <c r="A91" s="16"/>
      <c r="B91" s="16"/>
      <c r="C91" s="16"/>
      <c r="D91" s="16"/>
      <c r="E91" s="16"/>
      <c r="F91" s="16"/>
      <c r="G91" s="26" t="str">
        <f>IF($M$83="✖ 回答不要","【回答不要】 ","")&amp;"非公開"</f>
        <v>非公開</v>
      </c>
      <c r="H91" s="14"/>
      <c r="I91" s="16"/>
      <c r="J91" s="16"/>
      <c r="K91" s="16"/>
      <c r="L91" s="15"/>
      <c r="M91" s="17" t="str">
        <f t="shared" si="5"/>
        <v>要回答</v>
      </c>
    </row>
    <row r="92" ht="54.0" customHeight="1" outlineLevel="1">
      <c r="A92" s="21">
        <v>14.0</v>
      </c>
      <c r="B92" s="22" t="str">
        <f>$M$92</f>
        <v>要回答</v>
      </c>
      <c r="C92" s="23" t="s">
        <v>30</v>
      </c>
      <c r="D92" s="23" t="s">
        <v>37</v>
      </c>
      <c r="E92" s="24" t="s">
        <v>41</v>
      </c>
      <c r="F92" s="25" t="str">
        <f>IF($M$92="✖ 回答不要","【この設問は回答不要です】"&amp;CHAR(10),"")&amp;"セキュリティ対策が正しく実装され意図したとおり運用されているか、関連法令や規制、契約上の要求事項を満たしているかを独立した評価部門により定期的に評価していますか。実施していることをすべて選択してください。"</f>
        <v>セキュリティ対策が正しく実装され意図したとおり運用されているか、関連法令や規制、契約上の要求事項を満たしているかを独立した評価部門により定期的に評価していますか。実施していることをすべて選択してください。</v>
      </c>
      <c r="G92" s="26" t="str">
        <f>IF($M$92="✖ 回答不要","【回答不要】 ","")&amp;"内部監査もしくは内部評価"&amp;CHAR(10)&amp;"   └ [実施頻度* / 最終実施年月*]"</f>
        <v>内部監査もしくは内部評価
   └ [実施頻度* / 最終実施年月*]</v>
      </c>
      <c r="H92" s="14"/>
      <c r="I92" s="15"/>
      <c r="J92" s="15"/>
      <c r="K92" s="16"/>
      <c r="L92" s="15"/>
      <c r="M92" s="17" t="str">
        <f t="shared" si="5"/>
        <v>要回答</v>
      </c>
    </row>
    <row r="93" ht="54.0" customHeight="1" outlineLevel="1">
      <c r="A93" s="16"/>
      <c r="B93" s="16"/>
      <c r="C93" s="16"/>
      <c r="D93" s="16"/>
      <c r="E93" s="16"/>
      <c r="F93" s="16"/>
      <c r="G93" s="26" t="str">
        <f>IF($M$92="✖ 回答不要","【回答不要】 ","")&amp;"外部監査もしくは外部評価"&amp;CHAR(10)&amp;"   └ [実施頻度* / 最終実施年月*]"</f>
        <v>外部監査もしくは外部評価
   └ [実施頻度* / 最終実施年月*]</v>
      </c>
      <c r="H93" s="14"/>
      <c r="I93" s="15"/>
      <c r="J93" s="15"/>
      <c r="K93" s="16"/>
      <c r="L93" s="15"/>
      <c r="M93" s="17" t="str">
        <f t="shared" si="5"/>
        <v>要回答</v>
      </c>
    </row>
    <row r="94" ht="54.0" customHeight="1" outlineLevel="1">
      <c r="A94" s="16"/>
      <c r="B94" s="16"/>
      <c r="C94" s="16"/>
      <c r="D94" s="16"/>
      <c r="E94" s="16"/>
      <c r="F94" s="16"/>
      <c r="G94" s="26" t="str">
        <f>IF($M$92="✖ 回答不要","【回答不要】 ","")&amp;"該当なし"</f>
        <v>該当なし</v>
      </c>
      <c r="H94" s="14"/>
      <c r="I94" s="16"/>
      <c r="J94" s="16"/>
      <c r="K94" s="16"/>
      <c r="L94" s="15"/>
      <c r="M94" s="17" t="str">
        <f t="shared" si="5"/>
        <v>要回答</v>
      </c>
    </row>
    <row r="95" ht="54.0" customHeight="1" outlineLevel="1">
      <c r="A95" s="16"/>
      <c r="B95" s="16"/>
      <c r="C95" s="16"/>
      <c r="D95" s="16"/>
      <c r="E95" s="16"/>
      <c r="F95" s="16"/>
      <c r="G95" s="26" t="str">
        <f>IF($M$92="✖ 回答不要","【回答不要】 ","")&amp;"非公開"</f>
        <v>非公開</v>
      </c>
      <c r="H95" s="14"/>
      <c r="I95" s="16"/>
      <c r="J95" s="16"/>
      <c r="K95" s="16"/>
      <c r="L95" s="15"/>
      <c r="M95" s="17" t="str">
        <f t="shared" si="5"/>
        <v>要回答</v>
      </c>
    </row>
    <row r="96" ht="54.0" customHeight="1">
      <c r="A96" s="5"/>
      <c r="B96" s="6"/>
      <c r="C96" s="6"/>
      <c r="D96" s="6"/>
      <c r="E96" s="6"/>
      <c r="F96" s="6"/>
      <c r="G96" s="6"/>
      <c r="H96" s="6"/>
      <c r="I96" s="6"/>
      <c r="J96" s="6"/>
      <c r="K96" s="6"/>
      <c r="L96" s="6"/>
      <c r="M96" s="7"/>
    </row>
    <row r="97" ht="54.0" customHeight="1" outlineLevel="1">
      <c r="A97" s="21">
        <v>15.0</v>
      </c>
      <c r="B97" s="22" t="str">
        <f>$M$97</f>
        <v>要回答</v>
      </c>
      <c r="C97" s="23" t="s">
        <v>30</v>
      </c>
      <c r="D97" s="23" t="s">
        <v>42</v>
      </c>
      <c r="E97" s="24" t="s">
        <v>43</v>
      </c>
      <c r="F97" s="25" t="str">
        <f>IF($M$97="✖ 回答不要","【この設問は回答不要です】"&amp;CHAR(10),"")&amp;"セキュリティインシデントやシステム障害へ対応するための役割や連絡体制について、定めているものを選択してください。"</f>
        <v>セキュリティインシデントやシステム障害へ対応するための役割や連絡体制について、定めているものを選択してください。</v>
      </c>
      <c r="G97" s="26" t="str">
        <f>IF($M$97="✖ 回答不要","【回答不要】 ","")&amp;"セキュリティインシデントやシステム障害が発生した場合の役割および責任を文書化している"</f>
        <v>セキュリティインシデントやシステム障害が発生した場合の役割および責任を文書化している</v>
      </c>
      <c r="H97" s="14"/>
      <c r="I97" s="16"/>
      <c r="J97" s="16"/>
      <c r="K97" s="16"/>
      <c r="L97" s="15"/>
      <c r="M97" s="17" t="str">
        <f t="shared" ref="M97:M118" si="6">"要回答"</f>
        <v>要回答</v>
      </c>
    </row>
    <row r="98" ht="54.0" customHeight="1" outlineLevel="1">
      <c r="A98" s="16"/>
      <c r="B98" s="16"/>
      <c r="C98" s="16"/>
      <c r="D98" s="16"/>
      <c r="E98" s="16"/>
      <c r="F98" s="16"/>
      <c r="G98" s="26" t="str">
        <f>IF($M$97="✖ 回答不要","【回答不要】 ","")&amp;"セキュリティインシデントやシステム障害が発生した場合の連絡先や連絡体制、エスカレーションフローを文書化している"</f>
        <v>セキュリティインシデントやシステム障害が発生した場合の連絡先や連絡体制、エスカレーションフローを文書化している</v>
      </c>
      <c r="H98" s="14"/>
      <c r="I98" s="16"/>
      <c r="J98" s="16"/>
      <c r="K98" s="16"/>
      <c r="L98" s="15"/>
      <c r="M98" s="17" t="str">
        <f t="shared" si="6"/>
        <v>要回答</v>
      </c>
    </row>
    <row r="99" ht="54.0" customHeight="1" outlineLevel="1">
      <c r="A99" s="16"/>
      <c r="B99" s="16"/>
      <c r="C99" s="16"/>
      <c r="D99" s="16"/>
      <c r="E99" s="16"/>
      <c r="F99" s="16"/>
      <c r="G99" s="27" t="str">
        <f>IF($M$97="✖ 回答不要","【回答不要】 ","")&amp;"  └ 自社内の連絡体制、エスカレーションフロー"</f>
        <v>  └ 自社内の連絡体制、エスカレーションフロー</v>
      </c>
      <c r="H99" s="14"/>
      <c r="I99" s="16"/>
      <c r="J99" s="16"/>
      <c r="K99" s="16"/>
      <c r="L99" s="20"/>
      <c r="M99" s="17" t="str">
        <f t="shared" si="6"/>
        <v>要回答</v>
      </c>
    </row>
    <row r="100" ht="54.0" customHeight="1" outlineLevel="1">
      <c r="A100" s="16"/>
      <c r="B100" s="16"/>
      <c r="C100" s="16"/>
      <c r="D100" s="16"/>
      <c r="E100" s="16"/>
      <c r="F100" s="16"/>
      <c r="G100" s="27" t="str">
        <f>IF($M$97="✖ 回答不要","【回答不要】 ","")&amp;"  └ 取引元への連絡体制、エスカレーションフロー"</f>
        <v>  └ 取引元への連絡体制、エスカレーションフロー</v>
      </c>
      <c r="H100" s="14"/>
      <c r="I100" s="16"/>
      <c r="J100" s="16"/>
      <c r="K100" s="16"/>
      <c r="L100" s="20"/>
      <c r="M100" s="17" t="str">
        <f t="shared" si="6"/>
        <v>要回答</v>
      </c>
    </row>
    <row r="101" ht="54.0" customHeight="1" outlineLevel="1">
      <c r="A101" s="16"/>
      <c r="B101" s="16"/>
      <c r="C101" s="16"/>
      <c r="D101" s="16"/>
      <c r="E101" s="16"/>
      <c r="F101" s="16"/>
      <c r="G101" s="27" t="str">
        <f>IF($M$97="✖ 回答不要","【回答不要】 ","")&amp;"  └ その他"&amp;CHAR(10)&amp;"       [詳細*]"</f>
        <v>  └ その他
       [詳細*]</v>
      </c>
      <c r="H101" s="14"/>
      <c r="I101" s="15"/>
      <c r="J101" s="16"/>
      <c r="K101" s="16"/>
      <c r="L101" s="20"/>
      <c r="M101" s="17" t="str">
        <f t="shared" si="6"/>
        <v>要回答</v>
      </c>
    </row>
    <row r="102" ht="54.0" customHeight="1" outlineLevel="1">
      <c r="A102" s="16"/>
      <c r="B102" s="16"/>
      <c r="C102" s="16"/>
      <c r="D102" s="16"/>
      <c r="E102" s="16"/>
      <c r="F102" s="16"/>
      <c r="G102" s="26" t="str">
        <f>IF($M$97="✖ 回答不要","【回答不要】 ","")&amp;"文書化した内容を定期的に見直している"</f>
        <v>文書化した内容を定期的に見直している</v>
      </c>
      <c r="H102" s="14"/>
      <c r="I102" s="16"/>
      <c r="J102" s="16"/>
      <c r="K102" s="16"/>
      <c r="L102" s="15"/>
      <c r="M102" s="17" t="str">
        <f t="shared" si="6"/>
        <v>要回答</v>
      </c>
    </row>
    <row r="103" ht="54.0" customHeight="1" outlineLevel="1">
      <c r="A103" s="16"/>
      <c r="B103" s="16"/>
      <c r="C103" s="16"/>
      <c r="D103" s="16"/>
      <c r="E103" s="16"/>
      <c r="F103" s="16"/>
      <c r="G103" s="26" t="str">
        <f>IF($M$97="✖ 回答不要","【回答不要】 ","")&amp;"該当なし"</f>
        <v>該当なし</v>
      </c>
      <c r="H103" s="14"/>
      <c r="I103" s="16"/>
      <c r="J103" s="16"/>
      <c r="K103" s="16"/>
      <c r="L103" s="15"/>
      <c r="M103" s="17" t="str">
        <f t="shared" si="6"/>
        <v>要回答</v>
      </c>
    </row>
    <row r="104" ht="54.0" customHeight="1" outlineLevel="1">
      <c r="A104" s="16"/>
      <c r="B104" s="16"/>
      <c r="C104" s="16"/>
      <c r="D104" s="16"/>
      <c r="E104" s="16"/>
      <c r="F104" s="16"/>
      <c r="G104" s="26" t="str">
        <f>IF($M$97="✖ 回答不要","【回答不要】 ","")&amp;"非公開"</f>
        <v>非公開</v>
      </c>
      <c r="H104" s="14"/>
      <c r="I104" s="16"/>
      <c r="J104" s="16"/>
      <c r="K104" s="16"/>
      <c r="L104" s="15"/>
      <c r="M104" s="17" t="str">
        <f t="shared" si="6"/>
        <v>要回答</v>
      </c>
    </row>
    <row r="105" ht="54.0" customHeight="1" outlineLevel="1">
      <c r="A105" s="21">
        <v>16.0</v>
      </c>
      <c r="B105" s="22" t="str">
        <f>$M$105</f>
        <v>要回答</v>
      </c>
      <c r="C105" s="23" t="s">
        <v>30</v>
      </c>
      <c r="D105" s="23" t="s">
        <v>42</v>
      </c>
      <c r="E105" s="24" t="s">
        <v>44</v>
      </c>
      <c r="F105" s="25" t="str">
        <f>IF($M$105="✖ 回答不要","【この設問は回答不要です】"&amp;CHAR(10),"")&amp;"セキュリティインシデントやシステム障害に備えて、平時から対応していることをすべて選択してください。"</f>
        <v>セキュリティインシデントやシステム障害に備えて、平時から対応していることをすべて選択してください。</v>
      </c>
      <c r="G105" s="26" t="str">
        <f>IF($M$105="✖ 回答不要","【回答不要】 ","")&amp;"脅威情報（インシデント事例等）を収集し、自社の事業・情報資産に与える影響を評価している"</f>
        <v>脅威情報（インシデント事例等）を収集し、自社の事業・情報資産に与える影響を評価している</v>
      </c>
      <c r="H105" s="14"/>
      <c r="I105" s="16"/>
      <c r="J105" s="16"/>
      <c r="K105" s="16"/>
      <c r="L105" s="15"/>
      <c r="M105" s="17" t="str">
        <f t="shared" si="6"/>
        <v>要回答</v>
      </c>
    </row>
    <row r="106" ht="54.0" customHeight="1" outlineLevel="1">
      <c r="A106" s="16"/>
      <c r="B106" s="16"/>
      <c r="C106" s="16"/>
      <c r="D106" s="16"/>
      <c r="E106" s="16"/>
      <c r="F106" s="16"/>
      <c r="G106" s="26" t="str">
        <f>IF($M$105="✖ 回答不要","【回答不要】 ","")&amp;"（取引元からの要請があった場合）収集した脅威情報について、取引元へ提供可能である"</f>
        <v>（取引元からの要請があった場合）収集した脅威情報について、取引元へ提供可能である</v>
      </c>
      <c r="H106" s="14"/>
      <c r="I106" s="16"/>
      <c r="J106" s="16"/>
      <c r="K106" s="16"/>
      <c r="L106" s="15"/>
      <c r="M106" s="17" t="str">
        <f t="shared" si="6"/>
        <v>要回答</v>
      </c>
    </row>
    <row r="107" ht="54.0" customHeight="1" outlineLevel="1">
      <c r="A107" s="16"/>
      <c r="B107" s="16"/>
      <c r="C107" s="16"/>
      <c r="D107" s="16"/>
      <c r="E107" s="16"/>
      <c r="F107" s="16"/>
      <c r="G107" s="26" t="str">
        <f>IF($M$105="✖ 回答不要","【回答不要】 ","")&amp;"セキュリティインシデントやシステム障害へ対応するためのインシデント対応マニュアルを策定している"</f>
        <v>セキュリティインシデントやシステム障害へ対応するためのインシデント対応マニュアルを策定している</v>
      </c>
      <c r="H107" s="14"/>
      <c r="I107" s="16"/>
      <c r="J107" s="16"/>
      <c r="K107" s="16"/>
      <c r="L107" s="15"/>
      <c r="M107" s="17" t="str">
        <f t="shared" si="6"/>
        <v>要回答</v>
      </c>
    </row>
    <row r="108" ht="54.0" customHeight="1" outlineLevel="1">
      <c r="A108" s="16"/>
      <c r="B108" s="16"/>
      <c r="C108" s="16"/>
      <c r="D108" s="16"/>
      <c r="E108" s="16"/>
      <c r="F108" s="16"/>
      <c r="G108" s="27" t="str">
        <f>IF($M$105="✖ 回答不要","【回答不要】 ","")&amp;"  └ インシデントによる業務影響・対応優先度・原因に関する分析"</f>
        <v>  └ インシデントによる業務影響・対応優先度・原因に関する分析</v>
      </c>
      <c r="H108" s="14"/>
      <c r="I108" s="16"/>
      <c r="J108" s="16"/>
      <c r="K108" s="16"/>
      <c r="L108" s="20"/>
      <c r="M108" s="17" t="str">
        <f t="shared" si="6"/>
        <v>要回答</v>
      </c>
    </row>
    <row r="109" ht="54.0" customHeight="1" outlineLevel="1">
      <c r="A109" s="16"/>
      <c r="B109" s="16"/>
      <c r="C109" s="16"/>
      <c r="D109" s="16"/>
      <c r="E109" s="16"/>
      <c r="F109" s="16"/>
      <c r="G109" s="27" t="str">
        <f>IF($M$105="✖ 回答不要","【回答不要】 ","")&amp;"  └ 証拠・ログの保全"</f>
        <v>  └ 証拠・ログの保全</v>
      </c>
      <c r="H109" s="14"/>
      <c r="I109" s="16"/>
      <c r="J109" s="16"/>
      <c r="K109" s="16"/>
      <c r="L109" s="20"/>
      <c r="M109" s="17" t="str">
        <f t="shared" si="6"/>
        <v>要回答</v>
      </c>
    </row>
    <row r="110" ht="54.0" customHeight="1" outlineLevel="1">
      <c r="A110" s="16"/>
      <c r="B110" s="16"/>
      <c r="C110" s="16"/>
      <c r="D110" s="16"/>
      <c r="E110" s="16"/>
      <c r="F110" s="16"/>
      <c r="G110" s="27" t="str">
        <f>IF($M$105="✖ 回答不要","【回答不要】 ","")&amp;"  └ インシデント対応の記録（インシデントの内容、その対応において取られた行動内容や調査における収集ログの一覧等）"</f>
        <v>  └ インシデント対応の記録（インシデントの内容、その対応において取られた行動内容や調査における収集ログの一覧等）</v>
      </c>
      <c r="H110" s="14"/>
      <c r="I110" s="16"/>
      <c r="J110" s="16"/>
      <c r="K110" s="16"/>
      <c r="L110" s="20"/>
      <c r="M110" s="17" t="str">
        <f t="shared" si="6"/>
        <v>要回答</v>
      </c>
    </row>
    <row r="111" ht="54.0" customHeight="1" outlineLevel="1">
      <c r="A111" s="16"/>
      <c r="B111" s="16"/>
      <c r="C111" s="16"/>
      <c r="D111" s="16"/>
      <c r="E111" s="16"/>
      <c r="F111" s="16"/>
      <c r="G111" s="27" t="str">
        <f>IF($M$105="✖ 回答不要","【回答不要】 ","")&amp;"  └ サイバー攻撃に対する封じ込め・根絶"</f>
        <v>  └ サイバー攻撃に対する封じ込め・根絶</v>
      </c>
      <c r="H111" s="14"/>
      <c r="I111" s="16"/>
      <c r="J111" s="16"/>
      <c r="K111" s="16"/>
      <c r="L111" s="20"/>
      <c r="M111" s="17" t="str">
        <f t="shared" si="6"/>
        <v>要回答</v>
      </c>
    </row>
    <row r="112" ht="54.0" customHeight="1" outlineLevel="1">
      <c r="A112" s="16"/>
      <c r="B112" s="16"/>
      <c r="C112" s="16"/>
      <c r="D112" s="16"/>
      <c r="E112" s="16"/>
      <c r="F112" s="16"/>
      <c r="G112" s="27" t="str">
        <f>IF($M$105="✖ 回答不要","【回答不要】 ","")&amp;"  └ 正常状態への復旧・復旧後の正常稼働確認"</f>
        <v>  └ 正常状態への復旧・復旧後の正常稼働確認</v>
      </c>
      <c r="H112" s="14"/>
      <c r="I112" s="16"/>
      <c r="J112" s="16"/>
      <c r="K112" s="16"/>
      <c r="L112" s="20"/>
      <c r="M112" s="17" t="str">
        <f t="shared" si="6"/>
        <v>要回答</v>
      </c>
    </row>
    <row r="113" ht="54.0" customHeight="1" outlineLevel="1">
      <c r="A113" s="16"/>
      <c r="B113" s="16"/>
      <c r="C113" s="16"/>
      <c r="D113" s="16"/>
      <c r="E113" s="16"/>
      <c r="F113" s="16"/>
      <c r="G113" s="27" t="str">
        <f>IF($M$105="✖ 回答不要","【回答不要】 ","")&amp;"  └ インシデント対応計画の作成や見直しにおける外部委託先との連携"</f>
        <v>  └ インシデント対応計画の作成や見直しにおける外部委託先との連携</v>
      </c>
      <c r="H113" s="14"/>
      <c r="I113" s="16"/>
      <c r="J113" s="16"/>
      <c r="K113" s="16"/>
      <c r="L113" s="20"/>
      <c r="M113" s="17" t="str">
        <f t="shared" si="6"/>
        <v>要回答</v>
      </c>
    </row>
    <row r="114" ht="54.0" customHeight="1" outlineLevel="1">
      <c r="A114" s="16"/>
      <c r="B114" s="16"/>
      <c r="C114" s="16"/>
      <c r="D114" s="16"/>
      <c r="E114" s="16"/>
      <c r="F114" s="16"/>
      <c r="G114" s="27" t="str">
        <f>IF($M$105="✖ 回答不要","【回答不要】 ","")&amp;"  └ その他"&amp;CHAR(10)&amp;"       [詳細*]"</f>
        <v>  └ その他
       [詳細*]</v>
      </c>
      <c r="H114" s="14"/>
      <c r="I114" s="15"/>
      <c r="J114" s="16"/>
      <c r="K114" s="16"/>
      <c r="L114" s="20"/>
      <c r="M114" s="17" t="str">
        <f t="shared" si="6"/>
        <v>要回答</v>
      </c>
    </row>
    <row r="115" ht="54.0" customHeight="1" outlineLevel="1">
      <c r="A115" s="16"/>
      <c r="B115" s="16"/>
      <c r="C115" s="16"/>
      <c r="D115" s="16"/>
      <c r="E115" s="16"/>
      <c r="F115" s="16"/>
      <c r="G115" s="26" t="str">
        <f>IF($M$105="✖ 回答不要","【回答不要】 ","")&amp;"セキュリティインシデントやシステム障害へ対応するためのインシデント対応マニュアルを定期的に見直している"</f>
        <v>セキュリティインシデントやシステム障害へ対応するためのインシデント対応マニュアルを定期的に見直している</v>
      </c>
      <c r="H115" s="14"/>
      <c r="I115" s="16"/>
      <c r="J115" s="16"/>
      <c r="K115" s="16"/>
      <c r="L115" s="15"/>
      <c r="M115" s="17" t="str">
        <f t="shared" si="6"/>
        <v>要回答</v>
      </c>
    </row>
    <row r="116" ht="54.0" customHeight="1" outlineLevel="1">
      <c r="A116" s="16"/>
      <c r="B116" s="16"/>
      <c r="C116" s="16"/>
      <c r="D116" s="16"/>
      <c r="E116" s="16"/>
      <c r="F116" s="16"/>
      <c r="G116" s="26" t="str">
        <f>IF($M$105="✖ 回答不要","【回答不要】 ","")&amp;"インシデント対応や訓練から学んだ教訓をインシデント対応マニュアルや手順に反映している"</f>
        <v>インシデント対応や訓練から学んだ教訓をインシデント対応マニュアルや手順に反映している</v>
      </c>
      <c r="H116" s="14"/>
      <c r="I116" s="16"/>
      <c r="J116" s="16"/>
      <c r="K116" s="16"/>
      <c r="L116" s="15"/>
      <c r="M116" s="17" t="str">
        <f t="shared" si="6"/>
        <v>要回答</v>
      </c>
    </row>
    <row r="117" ht="54.0" customHeight="1" outlineLevel="1">
      <c r="A117" s="16"/>
      <c r="B117" s="16"/>
      <c r="C117" s="16"/>
      <c r="D117" s="16"/>
      <c r="E117" s="16"/>
      <c r="F117" s="16"/>
      <c r="G117" s="26" t="str">
        <f>IF($M$105="✖ 回答不要","【回答不要】 ","")&amp;"該当なし"</f>
        <v>該当なし</v>
      </c>
      <c r="H117" s="14"/>
      <c r="I117" s="16"/>
      <c r="J117" s="16"/>
      <c r="K117" s="16"/>
      <c r="L117" s="15"/>
      <c r="M117" s="17" t="str">
        <f t="shared" si="6"/>
        <v>要回答</v>
      </c>
    </row>
    <row r="118" ht="54.0" customHeight="1" outlineLevel="1">
      <c r="A118" s="16"/>
      <c r="B118" s="16"/>
      <c r="C118" s="16"/>
      <c r="D118" s="16"/>
      <c r="E118" s="16"/>
      <c r="F118" s="16"/>
      <c r="G118" s="26" t="str">
        <f>IF($M$105="✖ 回答不要","【回答不要】 ","")&amp;"非公開"</f>
        <v>非公開</v>
      </c>
      <c r="H118" s="14"/>
      <c r="I118" s="16"/>
      <c r="J118" s="16"/>
      <c r="K118" s="16"/>
      <c r="L118" s="15"/>
      <c r="M118" s="17" t="str">
        <f t="shared" si="6"/>
        <v>要回答</v>
      </c>
    </row>
    <row r="119" ht="54.0" customHeight="1">
      <c r="A119" s="5"/>
      <c r="B119" s="6"/>
      <c r="C119" s="6"/>
      <c r="D119" s="6"/>
      <c r="E119" s="6"/>
      <c r="F119" s="6"/>
      <c r="G119" s="6"/>
      <c r="H119" s="6"/>
      <c r="I119" s="6"/>
      <c r="J119" s="6"/>
      <c r="K119" s="6"/>
      <c r="L119" s="6"/>
      <c r="M119" s="7"/>
    </row>
    <row r="120" ht="54.0" customHeight="1" outlineLevel="1">
      <c r="A120" s="21">
        <v>17.0</v>
      </c>
      <c r="B120" s="22" t="str">
        <f>$M$120</f>
        <v>要回答</v>
      </c>
      <c r="C120" s="23" t="s">
        <v>30</v>
      </c>
      <c r="D120" s="23" t="s">
        <v>45</v>
      </c>
      <c r="E120" s="24" t="s">
        <v>46</v>
      </c>
      <c r="F120" s="25" t="str">
        <f>IF($M$120="✖ 回答不要","【この設問は回答不要です】"&amp;CHAR(10),"")&amp;"従業員に対するセキュリティ教育として実施していることをすべて選択してください。"</f>
        <v>従業員に対するセキュリティ教育として実施していることをすべて選択してください。</v>
      </c>
      <c r="G120" s="26" t="str">
        <f>IF($M$120="✖ 回答不要","【回答不要】 ","")&amp;"情報セキュリティおよび重要情報の取扱いに関する意識向上のため、定期的に教育を実施している"&amp;CHAR(10)&amp;"   └ [頻度* / 最終実施年月* / 教育のテーマやトピック*]"</f>
        <v>情報セキュリティおよび重要情報の取扱いに関する意識向上のため、定期的に教育を実施している
   └ [頻度* / 最終実施年月* / 教育のテーマやトピック*]</v>
      </c>
      <c r="H120" s="14"/>
      <c r="I120" s="15"/>
      <c r="J120" s="15"/>
      <c r="K120" s="15"/>
      <c r="L120" s="15"/>
      <c r="M120" s="17" t="str">
        <f t="shared" ref="M120:M131" si="7">"要回答"</f>
        <v>要回答</v>
      </c>
    </row>
    <row r="121" ht="54.0" customHeight="1" outlineLevel="1">
      <c r="A121" s="16"/>
      <c r="B121" s="16"/>
      <c r="C121" s="16"/>
      <c r="D121" s="16"/>
      <c r="E121" s="16"/>
      <c r="F121" s="16"/>
      <c r="G121" s="26" t="str">
        <f>IF($M$120="✖ 回答不要","【回答不要】 ","")&amp;"セキュリティインシデントを想定した演習や訓練を実施している"&amp;CHAR(10)&amp;"   └ [頻度* / 最終実施年月* / 内容*]"</f>
        <v>セキュリティインシデントを想定した演習や訓練を実施している
   └ [頻度* / 最終実施年月* / 内容*]</v>
      </c>
      <c r="H121" s="14"/>
      <c r="I121" s="15"/>
      <c r="J121" s="15"/>
      <c r="K121" s="15"/>
      <c r="L121" s="15"/>
      <c r="M121" s="17" t="str">
        <f t="shared" si="7"/>
        <v>要回答</v>
      </c>
    </row>
    <row r="122" ht="54.0" customHeight="1" outlineLevel="1">
      <c r="A122" s="16"/>
      <c r="B122" s="16"/>
      <c r="C122" s="16"/>
      <c r="D122" s="16"/>
      <c r="E122" s="16"/>
      <c r="F122" s="16"/>
      <c r="G122" s="26" t="str">
        <f>IF($M$120="✖ 回答不要","【回答不要】 ","")&amp;"その他"&amp;CHAR(10)&amp;"   └ [詳細*]"</f>
        <v>その他
   └ [詳細*]</v>
      </c>
      <c r="H122" s="14"/>
      <c r="I122" s="15"/>
      <c r="J122" s="16"/>
      <c r="K122" s="16"/>
      <c r="L122" s="15"/>
      <c r="M122" s="17" t="str">
        <f t="shared" si="7"/>
        <v>要回答</v>
      </c>
    </row>
    <row r="123" ht="54.0" customHeight="1" outlineLevel="1">
      <c r="A123" s="16"/>
      <c r="B123" s="16"/>
      <c r="C123" s="16"/>
      <c r="D123" s="16"/>
      <c r="E123" s="16"/>
      <c r="F123" s="16"/>
      <c r="G123" s="26" t="str">
        <f>IF($M$120="✖ 回答不要","【回答不要】 ","")&amp;"該当なし"</f>
        <v>該当なし</v>
      </c>
      <c r="H123" s="14"/>
      <c r="I123" s="16"/>
      <c r="J123" s="16"/>
      <c r="K123" s="16"/>
      <c r="L123" s="15"/>
      <c r="M123" s="17" t="str">
        <f t="shared" si="7"/>
        <v>要回答</v>
      </c>
    </row>
    <row r="124" ht="54.0" customHeight="1" outlineLevel="1">
      <c r="A124" s="16"/>
      <c r="B124" s="16"/>
      <c r="C124" s="16"/>
      <c r="D124" s="16"/>
      <c r="E124" s="16"/>
      <c r="F124" s="16"/>
      <c r="G124" s="26" t="str">
        <f>IF($M$120="✖ 回答不要","【回答不要】 ","")&amp;"非公開"</f>
        <v>非公開</v>
      </c>
      <c r="H124" s="14"/>
      <c r="I124" s="16"/>
      <c r="J124" s="16"/>
      <c r="K124" s="16"/>
      <c r="L124" s="15"/>
      <c r="M124" s="17" t="str">
        <f t="shared" si="7"/>
        <v>要回答</v>
      </c>
    </row>
    <row r="125" ht="54.0" customHeight="1" outlineLevel="1">
      <c r="A125" s="21">
        <v>18.0</v>
      </c>
      <c r="B125" s="22" t="str">
        <f>$M$125</f>
        <v>要回答</v>
      </c>
      <c r="C125" s="23" t="s">
        <v>30</v>
      </c>
      <c r="D125" s="23" t="s">
        <v>45</v>
      </c>
      <c r="E125" s="24" t="s">
        <v>47</v>
      </c>
      <c r="F125" s="25" t="str">
        <f>IF($M$125="✖ 回答不要","【この設問は回答不要です】"&amp;CHAR(10),"")&amp;"従業員からの情報漏えいについて、罰則規定や守秘義務契約が整備されていますか。該当する選択肢をすべて選択してください。"</f>
        <v>従業員からの情報漏えいについて、罰則規定や守秘義務契約が整備されていますか。該当する選択肢をすべて選択してください。</v>
      </c>
      <c r="G125" s="26" t="str">
        <f>IF($M$125="✖ 回答不要","【回答不要】 ","")&amp;"情報漏えいに関する罰則規定を設けている"</f>
        <v>情報漏えいに関する罰則規定を設けている</v>
      </c>
      <c r="H125" s="14"/>
      <c r="I125" s="16"/>
      <c r="J125" s="16"/>
      <c r="K125" s="16"/>
      <c r="L125" s="15"/>
      <c r="M125" s="17" t="str">
        <f t="shared" si="7"/>
        <v>要回答</v>
      </c>
    </row>
    <row r="126" ht="54.0" customHeight="1" outlineLevel="1">
      <c r="A126" s="16"/>
      <c r="B126" s="16"/>
      <c r="C126" s="16"/>
      <c r="D126" s="16"/>
      <c r="E126" s="16"/>
      <c r="F126" s="16"/>
      <c r="G126" s="26" t="str">
        <f>IF($M$125="✖ 回答不要","【回答不要】 ","")&amp;"従業員に対して、業務上知りえた情報に対する守秘義務契約や誓約書を求めている"</f>
        <v>従業員に対して、業務上知りえた情報に対する守秘義務契約や誓約書を求めている</v>
      </c>
      <c r="H126" s="14"/>
      <c r="I126" s="16"/>
      <c r="J126" s="16"/>
      <c r="K126" s="16"/>
      <c r="L126" s="15"/>
      <c r="M126" s="17" t="str">
        <f t="shared" si="7"/>
        <v>要回答</v>
      </c>
    </row>
    <row r="127" ht="54.0" customHeight="1" outlineLevel="1">
      <c r="A127" s="16"/>
      <c r="B127" s="16"/>
      <c r="C127" s="16"/>
      <c r="D127" s="16"/>
      <c r="E127" s="16"/>
      <c r="F127" s="16"/>
      <c r="G127" s="26" t="str">
        <f>IF($M$125="✖ 回答不要","【回答不要】 ","")&amp;"退職する従業員に対して、退職後の守秘義務に関する誓約書を求めている"</f>
        <v>退職する従業員に対して、退職後の守秘義務に関する誓約書を求めている</v>
      </c>
      <c r="H127" s="14"/>
      <c r="I127" s="16"/>
      <c r="J127" s="16"/>
      <c r="K127" s="16"/>
      <c r="L127" s="15"/>
      <c r="M127" s="17" t="str">
        <f t="shared" si="7"/>
        <v>要回答</v>
      </c>
    </row>
    <row r="128" ht="54.0" customHeight="1" outlineLevel="1">
      <c r="A128" s="16"/>
      <c r="B128" s="16"/>
      <c r="C128" s="16"/>
      <c r="D128" s="16"/>
      <c r="E128" s="16"/>
      <c r="F128" s="16"/>
      <c r="G128" s="26" t="str">
        <f>IF($M$125="✖ 回答不要","【回答不要】 ","")&amp;"退職する従業員に対して、決められた期間内での貸与資産（PC、モバイルデバイス、外部記憶媒体等）の返却を求めている"</f>
        <v>退職する従業員に対して、決められた期間内での貸与資産（PC、モバイルデバイス、外部記憶媒体等）の返却を求めている</v>
      </c>
      <c r="H128" s="14"/>
      <c r="I128" s="16"/>
      <c r="J128" s="16"/>
      <c r="K128" s="16"/>
      <c r="L128" s="15"/>
      <c r="M128" s="17" t="str">
        <f t="shared" si="7"/>
        <v>要回答</v>
      </c>
    </row>
    <row r="129" ht="54.0" customHeight="1" outlineLevel="1">
      <c r="A129" s="16"/>
      <c r="B129" s="16"/>
      <c r="C129" s="16"/>
      <c r="D129" s="16"/>
      <c r="E129" s="16"/>
      <c r="F129" s="16"/>
      <c r="G129" s="26" t="str">
        <f>IF($M$125="✖ 回答不要","【回答不要】 ","")&amp;"その他"&amp;CHAR(10)&amp;"   └ [詳細*]"</f>
        <v>その他
   └ [詳細*]</v>
      </c>
      <c r="H129" s="14"/>
      <c r="I129" s="15"/>
      <c r="J129" s="16"/>
      <c r="K129" s="16"/>
      <c r="L129" s="15"/>
      <c r="M129" s="17" t="str">
        <f t="shared" si="7"/>
        <v>要回答</v>
      </c>
    </row>
    <row r="130" ht="54.0" customHeight="1" outlineLevel="1">
      <c r="A130" s="16"/>
      <c r="B130" s="16"/>
      <c r="C130" s="16"/>
      <c r="D130" s="16"/>
      <c r="E130" s="16"/>
      <c r="F130" s="16"/>
      <c r="G130" s="26" t="str">
        <f>IF($M$125="✖ 回答不要","【回答不要】 ","")&amp;"該当なし"</f>
        <v>該当なし</v>
      </c>
      <c r="H130" s="14"/>
      <c r="I130" s="16"/>
      <c r="J130" s="16"/>
      <c r="K130" s="16"/>
      <c r="L130" s="15"/>
      <c r="M130" s="17" t="str">
        <f t="shared" si="7"/>
        <v>要回答</v>
      </c>
    </row>
    <row r="131" ht="54.0" customHeight="1" outlineLevel="1">
      <c r="A131" s="16"/>
      <c r="B131" s="16"/>
      <c r="C131" s="16"/>
      <c r="D131" s="16"/>
      <c r="E131" s="16"/>
      <c r="F131" s="16"/>
      <c r="G131" s="26" t="str">
        <f>IF($M$125="✖ 回答不要","【回答不要】 ","")&amp;"非公開"</f>
        <v>非公開</v>
      </c>
      <c r="H131" s="14"/>
      <c r="I131" s="16"/>
      <c r="J131" s="16"/>
      <c r="K131" s="16"/>
      <c r="L131" s="15"/>
      <c r="M131" s="17" t="str">
        <f t="shared" si="7"/>
        <v>要回答</v>
      </c>
    </row>
    <row r="132" ht="54.0" customHeight="1">
      <c r="A132" s="5"/>
      <c r="B132" s="6"/>
      <c r="C132" s="6"/>
      <c r="D132" s="6"/>
      <c r="E132" s="6"/>
      <c r="F132" s="6"/>
      <c r="G132" s="6"/>
      <c r="H132" s="6"/>
      <c r="I132" s="6"/>
      <c r="J132" s="6"/>
      <c r="K132" s="6"/>
      <c r="L132" s="6"/>
      <c r="M132" s="7"/>
    </row>
    <row r="133" ht="54.0" customHeight="1" outlineLevel="1">
      <c r="A133" s="21">
        <v>19.0</v>
      </c>
      <c r="B133" s="22" t="str">
        <f>$M$133</f>
        <v>要回答</v>
      </c>
      <c r="C133" s="23" t="s">
        <v>30</v>
      </c>
      <c r="D133" s="23" t="s">
        <v>48</v>
      </c>
      <c r="E133" s="24" t="s">
        <v>49</v>
      </c>
      <c r="F133" s="25" t="str">
        <f>IF($M$133="✖ 回答不要","【この設問は回答不要です】"&amp;CHAR(10),"")&amp;"情報資産管理について実施していることをすべて選択してください。"</f>
        <v>情報資産管理について実施していることをすべて選択してください。</v>
      </c>
      <c r="G133" s="26" t="str">
        <f>IF($M$133="✖ 回答不要","【回答不要】 ","")&amp;"情報資産（端末、システム、外部サービス、顧客情報、機密情報等）の定義を定めている"</f>
        <v>情報資産（端末、システム、外部サービス、顧客情報、機密情報等）の定義を定めている</v>
      </c>
      <c r="H133" s="14"/>
      <c r="I133" s="16"/>
      <c r="J133" s="16"/>
      <c r="K133" s="16"/>
      <c r="L133" s="15"/>
      <c r="M133" s="17" t="str">
        <f t="shared" ref="M133:M141" si="8">"要回答"</f>
        <v>要回答</v>
      </c>
    </row>
    <row r="134" ht="54.0" customHeight="1" outlineLevel="1">
      <c r="A134" s="16"/>
      <c r="B134" s="16"/>
      <c r="C134" s="16"/>
      <c r="D134" s="16"/>
      <c r="E134" s="16"/>
      <c r="F134" s="16"/>
      <c r="G134" s="26" t="str">
        <f>IF($M$133="✖ 回答不要","【回答不要】 ","")&amp;"情報資産の管理プロセスおよび重要度の判定基準を定めている"</f>
        <v>情報資産の管理プロセスおよび重要度の判定基準を定めている</v>
      </c>
      <c r="H134" s="14"/>
      <c r="I134" s="16"/>
      <c r="J134" s="16"/>
      <c r="K134" s="16"/>
      <c r="L134" s="15"/>
      <c r="M134" s="17" t="str">
        <f t="shared" si="8"/>
        <v>要回答</v>
      </c>
    </row>
    <row r="135" ht="54.0" customHeight="1" outlineLevel="1">
      <c r="A135" s="16"/>
      <c r="B135" s="16"/>
      <c r="C135" s="16"/>
      <c r="D135" s="16"/>
      <c r="E135" s="16"/>
      <c r="F135" s="16"/>
      <c r="G135" s="26" t="str">
        <f>IF($M$133="✖ 回答不要","【回答不要】 ","")&amp;"情報資産について、資産台帳等を作成し管理対象を把握している"</f>
        <v>情報資産について、資産台帳等を作成し管理対象を把握している</v>
      </c>
      <c r="H135" s="14"/>
      <c r="I135" s="16"/>
      <c r="J135" s="16"/>
      <c r="K135" s="16"/>
      <c r="L135" s="15"/>
      <c r="M135" s="17" t="str">
        <f t="shared" si="8"/>
        <v>要回答</v>
      </c>
    </row>
    <row r="136" ht="54.0" customHeight="1" outlineLevel="1">
      <c r="A136" s="16"/>
      <c r="B136" s="16"/>
      <c r="C136" s="16"/>
      <c r="D136" s="16"/>
      <c r="E136" s="16"/>
      <c r="F136" s="16"/>
      <c r="G136" s="26" t="str">
        <f>IF($M$133="✖ 回答不要","【回答不要】 ","")&amp;"情報資産について、資産台帳等を定期的に更新している"</f>
        <v>情報資産について、資産台帳等を定期的に更新している</v>
      </c>
      <c r="H136" s="14"/>
      <c r="I136" s="16"/>
      <c r="J136" s="16"/>
      <c r="K136" s="16"/>
      <c r="L136" s="15"/>
      <c r="M136" s="17" t="str">
        <f t="shared" si="8"/>
        <v>要回答</v>
      </c>
    </row>
    <row r="137" ht="54.0" customHeight="1" outlineLevel="1">
      <c r="A137" s="16"/>
      <c r="B137" s="16"/>
      <c r="C137" s="16"/>
      <c r="D137" s="16"/>
      <c r="E137" s="16"/>
      <c r="F137" s="16"/>
      <c r="G137" s="26" t="str">
        <f>IF($M$133="✖ 回答不要","【回答不要】 ","")&amp;"該当なし"</f>
        <v>該当なし</v>
      </c>
      <c r="H137" s="14"/>
      <c r="I137" s="16"/>
      <c r="J137" s="16"/>
      <c r="K137" s="16"/>
      <c r="L137" s="15"/>
      <c r="M137" s="17" t="str">
        <f t="shared" si="8"/>
        <v>要回答</v>
      </c>
    </row>
    <row r="138" ht="54.0" customHeight="1" outlineLevel="1">
      <c r="A138" s="16"/>
      <c r="B138" s="16"/>
      <c r="C138" s="16"/>
      <c r="D138" s="16"/>
      <c r="E138" s="16"/>
      <c r="F138" s="16"/>
      <c r="G138" s="26" t="str">
        <f>IF($M$133="✖ 回答不要","【回答不要】 ","")&amp;"非公開"</f>
        <v>非公開</v>
      </c>
      <c r="H138" s="14"/>
      <c r="I138" s="16"/>
      <c r="J138" s="16"/>
      <c r="K138" s="16"/>
      <c r="L138" s="15"/>
      <c r="M138" s="17" t="str">
        <f t="shared" si="8"/>
        <v>要回答</v>
      </c>
    </row>
    <row r="139" ht="54.0" customHeight="1" outlineLevel="1">
      <c r="A139" s="21">
        <v>20.0</v>
      </c>
      <c r="B139" s="22" t="str">
        <f>$M$139</f>
        <v>要回答</v>
      </c>
      <c r="C139" s="23" t="s">
        <v>30</v>
      </c>
      <c r="D139" s="23" t="s">
        <v>48</v>
      </c>
      <c r="E139" s="24" t="s">
        <v>50</v>
      </c>
      <c r="F139" s="25" t="str">
        <f>IF($M$139="✖ 回答不要","【この設問は回答不要です】"&amp;CHAR(10),"")&amp;"持ち運び可能な外部記憶媒体を利用していますか。"</f>
        <v>持ち運び可能な外部記憶媒体を利用していますか。</v>
      </c>
      <c r="G139" s="26" t="str">
        <f>IF($M$139="✖ 回答不要","【回答不要】 ","")&amp;"はい"</f>
        <v>はい</v>
      </c>
      <c r="H139" s="14"/>
      <c r="I139" s="16"/>
      <c r="J139" s="16"/>
      <c r="K139" s="16"/>
      <c r="L139" s="15"/>
      <c r="M139" s="17" t="str">
        <f t="shared" si="8"/>
        <v>要回答</v>
      </c>
    </row>
    <row r="140" ht="54.0" customHeight="1" outlineLevel="1">
      <c r="A140" s="16"/>
      <c r="B140" s="16"/>
      <c r="C140" s="16"/>
      <c r="D140" s="16"/>
      <c r="E140" s="16"/>
      <c r="F140" s="16"/>
      <c r="G140" s="26" t="str">
        <f>IF($M$139="✖ 回答不要","【回答不要】 ","")&amp;"いいえ"</f>
        <v>いいえ</v>
      </c>
      <c r="H140" s="14"/>
      <c r="I140" s="16"/>
      <c r="J140" s="16"/>
      <c r="K140" s="16"/>
      <c r="L140" s="15"/>
      <c r="M140" s="17" t="str">
        <f t="shared" si="8"/>
        <v>要回答</v>
      </c>
    </row>
    <row r="141" ht="54.0" customHeight="1" outlineLevel="1">
      <c r="A141" s="16"/>
      <c r="B141" s="16"/>
      <c r="C141" s="16"/>
      <c r="D141" s="16"/>
      <c r="E141" s="16"/>
      <c r="F141" s="16"/>
      <c r="G141" s="26" t="str">
        <f>IF($M$139="✖ 回答不要","【回答不要】 ","")&amp;"非公開"</f>
        <v>非公開</v>
      </c>
      <c r="H141" s="14"/>
      <c r="I141" s="16"/>
      <c r="J141" s="16"/>
      <c r="K141" s="16"/>
      <c r="L141" s="15"/>
      <c r="M141" s="17" t="str">
        <f t="shared" si="8"/>
        <v>要回答</v>
      </c>
    </row>
    <row r="142" ht="54.0" customHeight="1" outlineLevel="1">
      <c r="A142" s="21">
        <v>21.0</v>
      </c>
      <c r="B142" s="22" t="str">
        <f>$M$142</f>
        <v>要回答</v>
      </c>
      <c r="C142" s="23" t="s">
        <v>30</v>
      </c>
      <c r="D142" s="23" t="s">
        <v>48</v>
      </c>
      <c r="E142" s="24" t="s">
        <v>51</v>
      </c>
      <c r="F142" s="25" t="str">
        <f>IF($M$142="✖ 回答不要","【この設問は回答不要です】"&amp;CHAR(10),"")&amp;"持ち運び可能な外部記憶媒体の取り扱いについて、実施している対策をすべて選択してください。"</f>
        <v>持ち運び可能な外部記憶媒体の取り扱いについて、実施している対策をすべて選択してください。</v>
      </c>
      <c r="G142" s="26" t="str">
        <f>IF($M$142="✖ 回答不要","【回答不要】 ","")&amp;"持ち運び可能な外部記憶媒体の利用や管理に関するルールを定めている"</f>
        <v>持ち運び可能な外部記憶媒体の利用や管理に関するルールを定めている</v>
      </c>
      <c r="H142" s="14"/>
      <c r="I142" s="16"/>
      <c r="J142" s="16"/>
      <c r="K142" s="16"/>
      <c r="L142" s="15"/>
      <c r="M142" s="17" t="str">
        <f t="shared" ref="M142:M151" si="9">IF(OR($H$140="○"),"✖ 回答不要","要回答")</f>
        <v>要回答</v>
      </c>
    </row>
    <row r="143" ht="54.0" customHeight="1" outlineLevel="1">
      <c r="A143" s="16"/>
      <c r="B143" s="16"/>
      <c r="C143" s="16"/>
      <c r="D143" s="16"/>
      <c r="E143" s="16"/>
      <c r="F143" s="16"/>
      <c r="G143" s="26" t="str">
        <f>IF($M$142="✖ 回答不要","【回答不要】 ","")&amp;"持ち運び可能な外部記憶媒体の利用や管理に関するルールを定期的に見直している"</f>
        <v>持ち運び可能な外部記憶媒体の利用や管理に関するルールを定期的に見直している</v>
      </c>
      <c r="H143" s="14"/>
      <c r="I143" s="16"/>
      <c r="J143" s="16"/>
      <c r="K143" s="16"/>
      <c r="L143" s="15"/>
      <c r="M143" s="17" t="str">
        <f t="shared" si="9"/>
        <v>要回答</v>
      </c>
    </row>
    <row r="144" ht="54.0" customHeight="1" outlineLevel="1">
      <c r="A144" s="16"/>
      <c r="B144" s="16"/>
      <c r="C144" s="16"/>
      <c r="D144" s="16"/>
      <c r="E144" s="16"/>
      <c r="F144" s="16"/>
      <c r="G144" s="26" t="str">
        <f>IF($M$142="✖ 回答不要","【回答不要】 ","")&amp;"持ち出し禁止もしくは持ち出し時の事前申請を行っている"</f>
        <v>持ち出し禁止もしくは持ち出し時の事前申請を行っている</v>
      </c>
      <c r="H144" s="14"/>
      <c r="I144" s="16"/>
      <c r="J144" s="16"/>
      <c r="K144" s="16"/>
      <c r="L144" s="15"/>
      <c r="M144" s="17" t="str">
        <f t="shared" si="9"/>
        <v>要回答</v>
      </c>
    </row>
    <row r="145" ht="54.0" customHeight="1" outlineLevel="1">
      <c r="A145" s="16"/>
      <c r="B145" s="16"/>
      <c r="C145" s="16"/>
      <c r="D145" s="16"/>
      <c r="E145" s="16"/>
      <c r="F145" s="16"/>
      <c r="G145" s="26" t="str">
        <f>IF($M$142="✖ 回答不要","【回答不要】 ","")&amp;"技術的または物理的な情報漏えい対策を実施している"</f>
        <v>技術的または物理的な情報漏えい対策を実施している</v>
      </c>
      <c r="H145" s="14"/>
      <c r="I145" s="16"/>
      <c r="J145" s="16"/>
      <c r="K145" s="16"/>
      <c r="L145" s="15"/>
      <c r="M145" s="17" t="str">
        <f t="shared" si="9"/>
        <v>要回答</v>
      </c>
    </row>
    <row r="146" ht="54.0" customHeight="1" outlineLevel="1">
      <c r="A146" s="16"/>
      <c r="B146" s="16"/>
      <c r="C146" s="16"/>
      <c r="D146" s="16"/>
      <c r="E146" s="16"/>
      <c r="F146" s="16"/>
      <c r="G146" s="27" t="str">
        <f>IF($M$142="✖ 回答不要","【回答不要】 ","")&amp;"  └ 端末やサーバにおける外部記憶媒体の利用制限"</f>
        <v>  └ 端末やサーバにおける外部記憶媒体の利用制限</v>
      </c>
      <c r="H146" s="14"/>
      <c r="I146" s="16"/>
      <c r="J146" s="16"/>
      <c r="K146" s="16"/>
      <c r="L146" s="20"/>
      <c r="M146" s="17" t="str">
        <f t="shared" si="9"/>
        <v>要回答</v>
      </c>
    </row>
    <row r="147" ht="54.0" customHeight="1" outlineLevel="1">
      <c r="A147" s="16"/>
      <c r="B147" s="16"/>
      <c r="C147" s="16"/>
      <c r="D147" s="16"/>
      <c r="E147" s="16"/>
      <c r="F147" s="16"/>
      <c r="G147" s="27" t="str">
        <f>IF($M$142="✖ 回答不要","【回答不要】 ","")&amp;"  └ 格納するファイルまたは外部記憶媒体自体の暗号化"</f>
        <v>  └ 格納するファイルまたは外部記憶媒体自体の暗号化</v>
      </c>
      <c r="H147" s="14"/>
      <c r="I147" s="16"/>
      <c r="J147" s="16"/>
      <c r="K147" s="16"/>
      <c r="L147" s="20"/>
      <c r="M147" s="17" t="str">
        <f t="shared" si="9"/>
        <v>要回答</v>
      </c>
    </row>
    <row r="148" ht="54.0" customHeight="1" outlineLevel="1">
      <c r="A148" s="16"/>
      <c r="B148" s="16"/>
      <c r="C148" s="16"/>
      <c r="D148" s="16"/>
      <c r="E148" s="16"/>
      <c r="F148" s="16"/>
      <c r="G148" s="27" t="str">
        <f>IF($M$142="✖ 回答不要","【回答不要】 ","")&amp;"  └ 外部記憶媒体の保管場所の施錠"</f>
        <v>  └ 外部記憶媒体の保管場所の施錠</v>
      </c>
      <c r="H148" s="14"/>
      <c r="I148" s="16"/>
      <c r="J148" s="16"/>
      <c r="K148" s="16"/>
      <c r="L148" s="20"/>
      <c r="M148" s="17" t="str">
        <f t="shared" si="9"/>
        <v>要回答</v>
      </c>
    </row>
    <row r="149" ht="54.0" customHeight="1" outlineLevel="1">
      <c r="A149" s="16"/>
      <c r="B149" s="16"/>
      <c r="C149" s="16"/>
      <c r="D149" s="16"/>
      <c r="E149" s="16"/>
      <c r="F149" s="16"/>
      <c r="G149" s="27" t="str">
        <f>IF($M$142="✖ 回答不要","【回答不要】 ","")&amp;"  └ その他"&amp;CHAR(10)&amp;"       [詳細*]"</f>
        <v>  └ その他
       [詳細*]</v>
      </c>
      <c r="H149" s="14"/>
      <c r="I149" s="15"/>
      <c r="J149" s="16"/>
      <c r="K149" s="16"/>
      <c r="L149" s="20"/>
      <c r="M149" s="17" t="str">
        <f t="shared" si="9"/>
        <v>要回答</v>
      </c>
    </row>
    <row r="150" ht="54.0" customHeight="1" outlineLevel="1">
      <c r="A150" s="16"/>
      <c r="B150" s="16"/>
      <c r="C150" s="16"/>
      <c r="D150" s="16"/>
      <c r="E150" s="16"/>
      <c r="F150" s="16"/>
      <c r="G150" s="26" t="str">
        <f>IF($M$142="✖ 回答不要","【回答不要】 ","")&amp;"該当なし"</f>
        <v>該当なし</v>
      </c>
      <c r="H150" s="14"/>
      <c r="I150" s="16"/>
      <c r="J150" s="16"/>
      <c r="K150" s="16"/>
      <c r="L150" s="15"/>
      <c r="M150" s="17" t="str">
        <f t="shared" si="9"/>
        <v>要回答</v>
      </c>
    </row>
    <row r="151" ht="54.0" customHeight="1" outlineLevel="1">
      <c r="A151" s="16"/>
      <c r="B151" s="16"/>
      <c r="C151" s="16"/>
      <c r="D151" s="16"/>
      <c r="E151" s="16"/>
      <c r="F151" s="16"/>
      <c r="G151" s="26" t="str">
        <f>IF($M$142="✖ 回答不要","【回答不要】 ","")&amp;"非公開"</f>
        <v>非公開</v>
      </c>
      <c r="H151" s="14"/>
      <c r="I151" s="16"/>
      <c r="J151" s="16"/>
      <c r="K151" s="16"/>
      <c r="L151" s="15"/>
      <c r="M151" s="17" t="str">
        <f t="shared" si="9"/>
        <v>要回答</v>
      </c>
    </row>
    <row r="152" ht="54.0" customHeight="1" outlineLevel="1">
      <c r="A152" s="21">
        <v>22.0</v>
      </c>
      <c r="B152" s="22" t="str">
        <f>$M$152</f>
        <v>要回答</v>
      </c>
      <c r="C152" s="23" t="s">
        <v>30</v>
      </c>
      <c r="D152" s="23" t="s">
        <v>48</v>
      </c>
      <c r="E152" s="24" t="s">
        <v>52</v>
      </c>
      <c r="F152" s="25" t="str">
        <f>IF($M$152="✖ 回答不要","【この設問は回答不要です】"&amp;CHAR(10),"")&amp;"クリアデスク・クリアスクリーンについて、実施している対策をすべて選択してください。"</f>
        <v>クリアデスク・クリアスクリーンについて、実施している対策をすべて選択してください。</v>
      </c>
      <c r="G152" s="26" t="str">
        <f>IF($M$152="✖ 回答不要","【回答不要】 ","")&amp;"クリアデスク・クリアスクリーンに関するルールを定めている"</f>
        <v>クリアデスク・クリアスクリーンに関するルールを定めている</v>
      </c>
      <c r="H152" s="14"/>
      <c r="I152" s="16"/>
      <c r="J152" s="16"/>
      <c r="K152" s="16"/>
      <c r="L152" s="15"/>
      <c r="M152" s="17" t="str">
        <f t="shared" ref="M152:M172" si="10">"要回答"</f>
        <v>要回答</v>
      </c>
    </row>
    <row r="153" ht="54.0" customHeight="1" outlineLevel="1">
      <c r="A153" s="16"/>
      <c r="B153" s="16"/>
      <c r="C153" s="16"/>
      <c r="D153" s="16"/>
      <c r="E153" s="16"/>
      <c r="F153" s="16"/>
      <c r="G153" s="26" t="str">
        <f>IF($M$152="✖ 回答不要","【回答不要】 ","")&amp;"クリアデスク・クリアスクリーンに関するルールを定期的に見直している"</f>
        <v>クリアデスク・クリアスクリーンに関するルールを定期的に見直している</v>
      </c>
      <c r="H153" s="14"/>
      <c r="I153" s="16"/>
      <c r="J153" s="16"/>
      <c r="K153" s="16"/>
      <c r="L153" s="15"/>
      <c r="M153" s="17" t="str">
        <f t="shared" si="10"/>
        <v>要回答</v>
      </c>
    </row>
    <row r="154" ht="54.0" customHeight="1" outlineLevel="1">
      <c r="A154" s="16"/>
      <c r="B154" s="16"/>
      <c r="C154" s="16"/>
      <c r="D154" s="16"/>
      <c r="E154" s="16"/>
      <c r="F154" s="16"/>
      <c r="G154" s="26" t="str">
        <f>IF($M$152="✖ 回答不要","【回答不要】 ","")&amp;"クリアデスクを実施している"</f>
        <v>クリアデスクを実施している</v>
      </c>
      <c r="H154" s="14"/>
      <c r="I154" s="16"/>
      <c r="J154" s="16"/>
      <c r="K154" s="16"/>
      <c r="L154" s="15"/>
      <c r="M154" s="17" t="str">
        <f t="shared" si="10"/>
        <v>要回答</v>
      </c>
    </row>
    <row r="155" ht="54.0" customHeight="1" outlineLevel="1">
      <c r="A155" s="16"/>
      <c r="B155" s="16"/>
      <c r="C155" s="16"/>
      <c r="D155" s="16"/>
      <c r="E155" s="16"/>
      <c r="F155" s="16"/>
      <c r="G155" s="27" t="str">
        <f>IF($M$152="✖ 回答不要","【回答不要】 ","")&amp;"  └ 業務に関わる資料等について、利用時以外の書庫等への保管"</f>
        <v>  └ 業務に関わる資料等について、利用時以外の書庫等への保管</v>
      </c>
      <c r="H155" s="14"/>
      <c r="I155" s="16"/>
      <c r="J155" s="16"/>
      <c r="K155" s="16"/>
      <c r="L155" s="20"/>
      <c r="M155" s="17" t="str">
        <f t="shared" si="10"/>
        <v>要回答</v>
      </c>
    </row>
    <row r="156" ht="54.0" customHeight="1" outlineLevel="1">
      <c r="A156" s="16"/>
      <c r="B156" s="16"/>
      <c r="C156" s="16"/>
      <c r="D156" s="16"/>
      <c r="E156" s="16"/>
      <c r="F156" s="16"/>
      <c r="G156" s="27" t="str">
        <f>IF($M$152="✖ 回答不要","【回答不要】 ","")&amp;"  └ 業務に関わる機密性の高い資料等について、施錠可能な書庫・金庫等への保管"</f>
        <v>  └ 業務に関わる機密性の高い資料等について、施錠可能な書庫・金庫等への保管</v>
      </c>
      <c r="H156" s="14"/>
      <c r="I156" s="16"/>
      <c r="J156" s="16"/>
      <c r="K156" s="16"/>
      <c r="L156" s="20"/>
      <c r="M156" s="17" t="str">
        <f t="shared" si="10"/>
        <v>要回答</v>
      </c>
    </row>
    <row r="157" ht="54.0" customHeight="1" outlineLevel="1">
      <c r="A157" s="16"/>
      <c r="B157" s="16"/>
      <c r="C157" s="16"/>
      <c r="D157" s="16"/>
      <c r="E157" s="16"/>
      <c r="F157" s="16"/>
      <c r="G157" s="27" t="str">
        <f>IF($M$152="✖ 回答不要","【回答不要】 ","")&amp;"  └ その他"&amp;CHAR(10)&amp;"       [詳細*]"</f>
        <v>  └ その他
       [詳細*]</v>
      </c>
      <c r="H157" s="14"/>
      <c r="I157" s="15"/>
      <c r="J157" s="16"/>
      <c r="K157" s="16"/>
      <c r="L157" s="20"/>
      <c r="M157" s="17" t="str">
        <f t="shared" si="10"/>
        <v>要回答</v>
      </c>
    </row>
    <row r="158" ht="54.0" customHeight="1" outlineLevel="1">
      <c r="A158" s="16"/>
      <c r="B158" s="16"/>
      <c r="C158" s="16"/>
      <c r="D158" s="16"/>
      <c r="E158" s="16"/>
      <c r="F158" s="16"/>
      <c r="G158" s="26" t="str">
        <f>IF($M$152="✖ 回答不要","【回答不要】 ","")&amp;"クリアスクリーンを実施している"</f>
        <v>クリアスクリーンを実施している</v>
      </c>
      <c r="H158" s="14"/>
      <c r="I158" s="16"/>
      <c r="J158" s="16"/>
      <c r="K158" s="16"/>
      <c r="L158" s="15"/>
      <c r="M158" s="17" t="str">
        <f t="shared" si="10"/>
        <v>要回答</v>
      </c>
    </row>
    <row r="159" ht="54.0" customHeight="1" outlineLevel="1">
      <c r="A159" s="16"/>
      <c r="B159" s="16"/>
      <c r="C159" s="16"/>
      <c r="D159" s="16"/>
      <c r="E159" s="16"/>
      <c r="F159" s="16"/>
      <c r="G159" s="27" t="str">
        <f>IF($M$152="✖ 回答不要","【回答不要】 ","")&amp;"  └ 離席時の端末のスクリーンロックまたはログオフ"</f>
        <v>  └ 離席時の端末のスクリーンロックまたはログオフ</v>
      </c>
      <c r="H159" s="14"/>
      <c r="I159" s="16"/>
      <c r="J159" s="16"/>
      <c r="K159" s="16"/>
      <c r="L159" s="20"/>
      <c r="M159" s="17" t="str">
        <f t="shared" si="10"/>
        <v>要回答</v>
      </c>
    </row>
    <row r="160" ht="54.0" customHeight="1" outlineLevel="1">
      <c r="A160" s="16"/>
      <c r="B160" s="16"/>
      <c r="C160" s="16"/>
      <c r="D160" s="16"/>
      <c r="E160" s="16"/>
      <c r="F160" s="16"/>
      <c r="G160" s="27" t="str">
        <f>IF($M$152="✖ 回答不要","【回答不要】 ","")&amp;"  └ 端末の無操作時間が続いた場合の、端末の自動的なスクリーンロックまたはログオフ"</f>
        <v>  └ 端末の無操作時間が続いた場合の、端末の自動的なスクリーンロックまたはログオフ</v>
      </c>
      <c r="H160" s="14"/>
      <c r="I160" s="16"/>
      <c r="J160" s="16"/>
      <c r="K160" s="16"/>
      <c r="L160" s="20"/>
      <c r="M160" s="17" t="str">
        <f t="shared" si="10"/>
        <v>要回答</v>
      </c>
    </row>
    <row r="161" ht="54.0" customHeight="1" outlineLevel="1">
      <c r="A161" s="16"/>
      <c r="B161" s="16"/>
      <c r="C161" s="16"/>
      <c r="D161" s="16"/>
      <c r="E161" s="16"/>
      <c r="F161" s="16"/>
      <c r="G161" s="27" t="str">
        <f>IF($M$152="✖ 回答不要","【回答不要】 ","")&amp;"  └ その他"&amp;CHAR(10)&amp;"       [詳細*]"</f>
        <v>  └ その他
       [詳細*]</v>
      </c>
      <c r="H161" s="14"/>
      <c r="I161" s="15"/>
      <c r="J161" s="16"/>
      <c r="K161" s="16"/>
      <c r="L161" s="20"/>
      <c r="M161" s="17" t="str">
        <f t="shared" si="10"/>
        <v>要回答</v>
      </c>
    </row>
    <row r="162" ht="54.0" customHeight="1" outlineLevel="1">
      <c r="A162" s="16"/>
      <c r="B162" s="16"/>
      <c r="C162" s="16"/>
      <c r="D162" s="16"/>
      <c r="E162" s="16"/>
      <c r="F162" s="16"/>
      <c r="G162" s="26" t="str">
        <f>IF($M$152="✖ 回答不要","【回答不要】 ","")&amp;"該当なし"</f>
        <v>該当なし</v>
      </c>
      <c r="H162" s="14"/>
      <c r="I162" s="16"/>
      <c r="J162" s="16"/>
      <c r="K162" s="16"/>
      <c r="L162" s="15"/>
      <c r="M162" s="17" t="str">
        <f t="shared" si="10"/>
        <v>要回答</v>
      </c>
    </row>
    <row r="163" ht="54.0" customHeight="1" outlineLevel="1">
      <c r="A163" s="16"/>
      <c r="B163" s="16"/>
      <c r="C163" s="16"/>
      <c r="D163" s="16"/>
      <c r="E163" s="16"/>
      <c r="F163" s="16"/>
      <c r="G163" s="26" t="str">
        <f>IF($M$152="✖ 回答不要","【回答不要】 ","")&amp;"非公開"</f>
        <v>非公開</v>
      </c>
      <c r="H163" s="14"/>
      <c r="I163" s="16"/>
      <c r="J163" s="16"/>
      <c r="K163" s="16"/>
      <c r="L163" s="15"/>
      <c r="M163" s="17" t="str">
        <f t="shared" si="10"/>
        <v>要回答</v>
      </c>
    </row>
    <row r="164" ht="54.0" customHeight="1" outlineLevel="1">
      <c r="A164" s="21">
        <v>23.0</v>
      </c>
      <c r="B164" s="22" t="str">
        <f>$M$164</f>
        <v>要回答</v>
      </c>
      <c r="C164" s="23" t="s">
        <v>30</v>
      </c>
      <c r="D164" s="23" t="s">
        <v>48</v>
      </c>
      <c r="E164" s="24" t="s">
        <v>53</v>
      </c>
      <c r="F164" s="25" t="str">
        <f>IF($M$164="✖ 回答不要","【この設問は回答不要です】"&amp;CHAR(10),"")&amp;"情報資産を廃棄する方法について、該当する選択肢をすべて選択してください。"</f>
        <v>情報資産を廃棄する方法について、該当する選択肢をすべて選択してください。</v>
      </c>
      <c r="G164" s="26" t="str">
        <f>IF($M$164="✖ 回答不要","【回答不要】 ","")&amp;"情報資産（端末、システム、外部サービス、顧客情報、機密情報等）の廃棄に関するルールを定めている"</f>
        <v>情報資産（端末、システム、外部サービス、顧客情報、機密情報等）の廃棄に関するルールを定めている</v>
      </c>
      <c r="H164" s="14"/>
      <c r="I164" s="16"/>
      <c r="J164" s="16"/>
      <c r="K164" s="16"/>
      <c r="L164" s="15"/>
      <c r="M164" s="17" t="str">
        <f t="shared" si="10"/>
        <v>要回答</v>
      </c>
    </row>
    <row r="165" ht="54.0" customHeight="1" outlineLevel="1">
      <c r="A165" s="16"/>
      <c r="B165" s="16"/>
      <c r="C165" s="16"/>
      <c r="D165" s="16"/>
      <c r="E165" s="16"/>
      <c r="F165" s="16"/>
      <c r="G165" s="26" t="str">
        <f>IF($M$164="✖ 回答不要","【回答不要】 ","")&amp;"情報資産の廃棄・契約終了に関するルールを定期的に見直している"</f>
        <v>情報資産の廃棄・契約終了に関するルールを定期的に見直している</v>
      </c>
      <c r="H165" s="14"/>
      <c r="I165" s="16"/>
      <c r="J165" s="16"/>
      <c r="K165" s="16"/>
      <c r="L165" s="15"/>
      <c r="M165" s="17" t="str">
        <f t="shared" si="10"/>
        <v>要回答</v>
      </c>
    </row>
    <row r="166" ht="54.0" customHeight="1" outlineLevel="1">
      <c r="A166" s="16"/>
      <c r="B166" s="16"/>
      <c r="C166" s="16"/>
      <c r="D166" s="16"/>
      <c r="E166" s="16"/>
      <c r="F166" s="16"/>
      <c r="G166" s="26" t="str">
        <f>IF($M$164="✖ 回答不要","【回答不要】 ","")&amp;"重要度の高い情報資産については安全な方法で廃棄している"</f>
        <v>重要度の高い情報資産については安全な方法で廃棄している</v>
      </c>
      <c r="H166" s="14"/>
      <c r="I166" s="16"/>
      <c r="J166" s="16"/>
      <c r="K166" s="16"/>
      <c r="L166" s="15"/>
      <c r="M166" s="17" t="str">
        <f t="shared" si="10"/>
        <v>要回答</v>
      </c>
    </row>
    <row r="167" ht="54.0" customHeight="1" outlineLevel="1">
      <c r="A167" s="16"/>
      <c r="B167" s="16"/>
      <c r="C167" s="16"/>
      <c r="D167" s="16"/>
      <c r="E167" s="16"/>
      <c r="F167" s="16"/>
      <c r="G167" s="27" t="str">
        <f>IF($M$164="✖ 回答不要","【回答不要】 ","")&amp;"  └ 除去（暗号化消去や消磁）"</f>
        <v>  └ 除去（暗号化消去や消磁）</v>
      </c>
      <c r="H167" s="14"/>
      <c r="I167" s="16"/>
      <c r="J167" s="16"/>
      <c r="K167" s="16"/>
      <c r="L167" s="20"/>
      <c r="M167" s="17" t="str">
        <f t="shared" si="10"/>
        <v>要回答</v>
      </c>
    </row>
    <row r="168" ht="54.0" customHeight="1" outlineLevel="1">
      <c r="A168" s="16"/>
      <c r="B168" s="16"/>
      <c r="C168" s="16"/>
      <c r="D168" s="16"/>
      <c r="E168" s="16"/>
      <c r="F168" s="16"/>
      <c r="G168" s="27" t="str">
        <f>IF($M$164="✖ 回答不要","【回答不要】 ","")&amp;"  └ 破壊（自社での物理的な破砕、溶解、シュレッディング）"</f>
        <v>  └ 破壊（自社での物理的な破砕、溶解、シュレッディング）</v>
      </c>
      <c r="H168" s="14"/>
      <c r="I168" s="16"/>
      <c r="J168" s="16"/>
      <c r="K168" s="16"/>
      <c r="L168" s="20"/>
      <c r="M168" s="17" t="str">
        <f t="shared" si="10"/>
        <v>要回答</v>
      </c>
    </row>
    <row r="169" ht="54.0" customHeight="1" outlineLevel="1">
      <c r="A169" s="16"/>
      <c r="B169" s="16"/>
      <c r="C169" s="16"/>
      <c r="D169" s="16"/>
      <c r="E169" s="16"/>
      <c r="F169" s="16"/>
      <c r="G169" s="27" t="str">
        <f>IF($M$164="✖ 回答不要","【回答不要】 ","")&amp;"  └ 廃棄（廃棄業者の廃棄証明書（マニフェスト）があること）"</f>
        <v>  └ 廃棄（廃棄業者の廃棄証明書（マニフェスト）があること）</v>
      </c>
      <c r="H169" s="14"/>
      <c r="I169" s="16"/>
      <c r="J169" s="16"/>
      <c r="K169" s="16"/>
      <c r="L169" s="20"/>
      <c r="M169" s="17" t="str">
        <f t="shared" si="10"/>
        <v>要回答</v>
      </c>
    </row>
    <row r="170" ht="54.0" customHeight="1" outlineLevel="1">
      <c r="A170" s="16"/>
      <c r="B170" s="16"/>
      <c r="C170" s="16"/>
      <c r="D170" s="16"/>
      <c r="E170" s="16"/>
      <c r="F170" s="16"/>
      <c r="G170" s="27" t="str">
        <f>IF($M$164="✖ 回答不要","【回答不要】 ","")&amp;"  └ その他"&amp;CHAR(10)&amp;"       [詳細*]"</f>
        <v>  └ その他
       [詳細*]</v>
      </c>
      <c r="H170" s="14"/>
      <c r="I170" s="15"/>
      <c r="J170" s="16"/>
      <c r="K170" s="16"/>
      <c r="L170" s="20"/>
      <c r="M170" s="17" t="str">
        <f t="shared" si="10"/>
        <v>要回答</v>
      </c>
    </row>
    <row r="171" ht="54.0" customHeight="1" outlineLevel="1">
      <c r="A171" s="16"/>
      <c r="B171" s="16"/>
      <c r="C171" s="16"/>
      <c r="D171" s="16"/>
      <c r="E171" s="16"/>
      <c r="F171" s="16"/>
      <c r="G171" s="26" t="str">
        <f>IF($M$164="✖ 回答不要","【回答不要】 ","")&amp;"該当なし"</f>
        <v>該当なし</v>
      </c>
      <c r="H171" s="14"/>
      <c r="I171" s="16"/>
      <c r="J171" s="16"/>
      <c r="K171" s="16"/>
      <c r="L171" s="15"/>
      <c r="M171" s="17" t="str">
        <f t="shared" si="10"/>
        <v>要回答</v>
      </c>
    </row>
    <row r="172" ht="54.0" customHeight="1" outlineLevel="1">
      <c r="A172" s="16"/>
      <c r="B172" s="16"/>
      <c r="C172" s="16"/>
      <c r="D172" s="16"/>
      <c r="E172" s="16"/>
      <c r="F172" s="16"/>
      <c r="G172" s="26" t="str">
        <f>IF($M$164="✖ 回答不要","【回答不要】 ","")&amp;"非公開"</f>
        <v>非公開</v>
      </c>
      <c r="H172" s="14"/>
      <c r="I172" s="16"/>
      <c r="J172" s="16"/>
      <c r="K172" s="16"/>
      <c r="L172" s="15"/>
      <c r="M172" s="17" t="str">
        <f t="shared" si="10"/>
        <v>要回答</v>
      </c>
    </row>
    <row r="173" ht="54.0" customHeight="1">
      <c r="A173" s="5"/>
      <c r="B173" s="6"/>
      <c r="C173" s="6"/>
      <c r="D173" s="6"/>
      <c r="E173" s="6"/>
      <c r="F173" s="6"/>
      <c r="G173" s="6"/>
      <c r="H173" s="6"/>
      <c r="I173" s="6"/>
      <c r="J173" s="6"/>
      <c r="K173" s="6"/>
      <c r="L173" s="6"/>
      <c r="M173" s="7"/>
    </row>
    <row r="174" ht="54.0" customHeight="1" outlineLevel="1">
      <c r="A174" s="21">
        <v>24.0</v>
      </c>
      <c r="B174" s="22" t="str">
        <f>$M$174</f>
        <v>要回答</v>
      </c>
      <c r="C174" s="23" t="s">
        <v>30</v>
      </c>
      <c r="D174" s="28" t="s">
        <v>54</v>
      </c>
      <c r="E174" s="24" t="s">
        <v>55</v>
      </c>
      <c r="F174" s="25" t="str">
        <f>IF($M$174="✖ 回答不要","【この設問は回答不要です】"&amp;CHAR(10),"")&amp;"端末におけるマルウェア対策について、実施している対策をすべて選択してください。"</f>
        <v>端末におけるマルウェア対策について、実施している対策をすべて選択してください。</v>
      </c>
      <c r="G174" s="26" t="str">
        <f>IF($M$174="✖ 回答不要","【回答不要】 ","")&amp;"端末においてマルウェア対策を実施している"</f>
        <v>端末においてマルウェア対策を実施している</v>
      </c>
      <c r="H174" s="14"/>
      <c r="I174" s="16"/>
      <c r="J174" s="16"/>
      <c r="K174" s="16"/>
      <c r="L174" s="15"/>
      <c r="M174" s="17" t="str">
        <f t="shared" ref="M174:M205" si="11">IF(OR($H$35="○"),"✖ 回答不要","要回答")</f>
        <v>要回答</v>
      </c>
    </row>
    <row r="175" ht="54.0" customHeight="1" outlineLevel="1">
      <c r="A175" s="16"/>
      <c r="B175" s="16"/>
      <c r="C175" s="16"/>
      <c r="D175" s="16"/>
      <c r="E175" s="16"/>
      <c r="F175" s="16"/>
      <c r="G175" s="27" t="str">
        <f>IF($M$174="✖ 回答不要","【回答不要】 ","")&amp;"  └ 既知のマルウェア対策として、アンチウィルスソフトを導入し、リアルタイムスキャン、定期的なウィルススキャンやパターンファイルの最新化を行なっている"</f>
        <v>  └ 既知のマルウェア対策として、アンチウィルスソフトを導入し、リアルタイムスキャン、定期的なウィルススキャンやパターンファイルの最新化を行なっている</v>
      </c>
      <c r="H175" s="14"/>
      <c r="I175" s="16"/>
      <c r="J175" s="16"/>
      <c r="K175" s="16"/>
      <c r="L175" s="20"/>
      <c r="M175" s="17" t="str">
        <f t="shared" si="11"/>
        <v>要回答</v>
      </c>
    </row>
    <row r="176" ht="54.0" customHeight="1" outlineLevel="1">
      <c r="A176" s="16"/>
      <c r="B176" s="16"/>
      <c r="C176" s="16"/>
      <c r="D176" s="16"/>
      <c r="E176" s="16"/>
      <c r="F176" s="16"/>
      <c r="G176" s="27" t="str">
        <f>IF($M$174="✖ 回答不要","【回答不要】 ","")&amp;"  └ 未知のマルウェア対策として、EDR製品や振る舞い検知を行う製品を導入している"</f>
        <v>  └ 未知のマルウェア対策として、EDR製品や振る舞い検知を行う製品を導入している</v>
      </c>
      <c r="H176" s="14"/>
      <c r="I176" s="16"/>
      <c r="J176" s="16"/>
      <c r="K176" s="16"/>
      <c r="L176" s="20"/>
      <c r="M176" s="17" t="str">
        <f t="shared" si="11"/>
        <v>要回答</v>
      </c>
    </row>
    <row r="177" ht="54.0" customHeight="1" outlineLevel="1">
      <c r="A177" s="16"/>
      <c r="B177" s="16"/>
      <c r="C177" s="16"/>
      <c r="D177" s="16"/>
      <c r="E177" s="16"/>
      <c r="F177" s="16"/>
      <c r="G177" s="27" t="str">
        <f>IF($M$174="✖ 回答不要","【回答不要】 ","")&amp;"  └ その他"&amp;CHAR(10)&amp;"       [詳細*]"</f>
        <v>  └ その他
       [詳細*]</v>
      </c>
      <c r="H177" s="14"/>
      <c r="I177" s="15"/>
      <c r="J177" s="16"/>
      <c r="K177" s="16"/>
      <c r="L177" s="20"/>
      <c r="M177" s="17" t="str">
        <f t="shared" si="11"/>
        <v>要回答</v>
      </c>
    </row>
    <row r="178" ht="54.0" customHeight="1" outlineLevel="1">
      <c r="A178" s="16"/>
      <c r="B178" s="16"/>
      <c r="C178" s="16"/>
      <c r="D178" s="16"/>
      <c r="E178" s="16"/>
      <c r="F178" s="16"/>
      <c r="G178" s="26" t="str">
        <f>IF($M$174="✖ 回答不要","【回答不要】 ","")&amp;"メール経由でのマルウェア感染への対策を実施している"</f>
        <v>メール経由でのマルウェア感染への対策を実施している</v>
      </c>
      <c r="H178" s="14"/>
      <c r="I178" s="16"/>
      <c r="J178" s="16"/>
      <c r="K178" s="16"/>
      <c r="L178" s="15"/>
      <c r="M178" s="17" t="str">
        <f t="shared" si="11"/>
        <v>要回答</v>
      </c>
    </row>
    <row r="179" ht="54.0" customHeight="1" outlineLevel="1">
      <c r="A179" s="16"/>
      <c r="B179" s="16"/>
      <c r="C179" s="16"/>
      <c r="D179" s="16"/>
      <c r="E179" s="16"/>
      <c r="F179" s="16"/>
      <c r="G179" s="27" t="str">
        <f>IF($M$174="✖ 回答不要","【回答不要】 ","")&amp;"  └ メールフィルタリング機能（不正サイトへのリンクの検出、隔離、ブロック等）"</f>
        <v>  └ メールフィルタリング機能（不正サイトへのリンクの検出、隔離、ブロック等）</v>
      </c>
      <c r="H179" s="14"/>
      <c r="I179" s="16"/>
      <c r="J179" s="16"/>
      <c r="K179" s="16"/>
      <c r="L179" s="20"/>
      <c r="M179" s="17" t="str">
        <f t="shared" si="11"/>
        <v>要回答</v>
      </c>
    </row>
    <row r="180" ht="54.0" customHeight="1" outlineLevel="1">
      <c r="A180" s="16"/>
      <c r="B180" s="16"/>
      <c r="C180" s="16"/>
      <c r="D180" s="16"/>
      <c r="E180" s="16"/>
      <c r="F180" s="16"/>
      <c r="G180" s="27" t="str">
        <f>IF($M$174="✖ 回答不要","【回答不要】 ","")&amp;"  └ 添付ファイルに対するスキャン機能"</f>
        <v>  └ 添付ファイルに対するスキャン機能</v>
      </c>
      <c r="H180" s="14"/>
      <c r="I180" s="16"/>
      <c r="J180" s="16"/>
      <c r="K180" s="16"/>
      <c r="L180" s="20"/>
      <c r="M180" s="17" t="str">
        <f t="shared" si="11"/>
        <v>要回答</v>
      </c>
    </row>
    <row r="181" ht="54.0" customHeight="1" outlineLevel="1">
      <c r="A181" s="16"/>
      <c r="B181" s="16"/>
      <c r="C181" s="16"/>
      <c r="D181" s="16"/>
      <c r="E181" s="16"/>
      <c r="F181" s="16"/>
      <c r="G181" s="27" t="str">
        <f>IF($M$174="✖ 回答不要","【回答不要】 ","")&amp;"  └ その他"&amp;CHAR(10)&amp;"       [詳細*]"</f>
        <v>  └ その他
       [詳細*]</v>
      </c>
      <c r="H181" s="14"/>
      <c r="I181" s="15"/>
      <c r="J181" s="16"/>
      <c r="K181" s="16"/>
      <c r="L181" s="20"/>
      <c r="M181" s="17" t="str">
        <f t="shared" si="11"/>
        <v>要回答</v>
      </c>
    </row>
    <row r="182" ht="54.0" customHeight="1" outlineLevel="1">
      <c r="A182" s="16"/>
      <c r="B182" s="16"/>
      <c r="C182" s="16"/>
      <c r="D182" s="16"/>
      <c r="E182" s="16"/>
      <c r="F182" s="16"/>
      <c r="G182" s="26" t="str">
        <f>IF($M$174="✖ 回答不要","【回答不要】 ","")&amp;"該当なし"</f>
        <v>該当なし</v>
      </c>
      <c r="H182" s="14"/>
      <c r="I182" s="16"/>
      <c r="J182" s="16"/>
      <c r="K182" s="16"/>
      <c r="L182" s="15"/>
      <c r="M182" s="17" t="str">
        <f t="shared" si="11"/>
        <v>要回答</v>
      </c>
    </row>
    <row r="183" ht="54.0" customHeight="1" outlineLevel="1">
      <c r="A183" s="16"/>
      <c r="B183" s="16"/>
      <c r="C183" s="16"/>
      <c r="D183" s="16"/>
      <c r="E183" s="16"/>
      <c r="F183" s="16"/>
      <c r="G183" s="26" t="str">
        <f>IF($M$174="✖ 回答不要","【回答不要】 ","")&amp;"非公開"</f>
        <v>非公開</v>
      </c>
      <c r="H183" s="14"/>
      <c r="I183" s="16"/>
      <c r="J183" s="16"/>
      <c r="K183" s="16"/>
      <c r="L183" s="15"/>
      <c r="M183" s="17" t="str">
        <f t="shared" si="11"/>
        <v>要回答</v>
      </c>
    </row>
    <row r="184" ht="54.0" customHeight="1" outlineLevel="1">
      <c r="A184" s="21">
        <v>25.0</v>
      </c>
      <c r="B184" s="22" t="str">
        <f>$M$184</f>
        <v>要回答</v>
      </c>
      <c r="C184" s="23" t="s">
        <v>30</v>
      </c>
      <c r="D184" s="28" t="s">
        <v>56</v>
      </c>
      <c r="E184" s="24" t="s">
        <v>57</v>
      </c>
      <c r="F184" s="25" t="str">
        <f>IF($M$184="✖ 回答不要","【この設問は回答不要です】"&amp;CHAR(10),"")&amp;"端末におけるソフトウェアの制御・モニタリングについて、実施している対策をすべて選択してください。"</f>
        <v>端末におけるソフトウェアの制御・モニタリングについて、実施している対策をすべて選択してください。</v>
      </c>
      <c r="G184" s="26" t="str">
        <f>IF($M$184="✖ 回答不要","【回答不要】 ","")&amp;"端末における導入ソフトウェアの技術的な制御を実施している"</f>
        <v>端末における導入ソフトウェアの技術的な制御を実施している</v>
      </c>
      <c r="H184" s="14"/>
      <c r="I184" s="16"/>
      <c r="J184" s="16"/>
      <c r="K184" s="16"/>
      <c r="L184" s="15"/>
      <c r="M184" s="17" t="str">
        <f t="shared" si="11"/>
        <v>要回答</v>
      </c>
    </row>
    <row r="185" ht="54.0" customHeight="1" outlineLevel="1">
      <c r="A185" s="16"/>
      <c r="B185" s="16"/>
      <c r="C185" s="16"/>
      <c r="D185" s="16"/>
      <c r="E185" s="16"/>
      <c r="F185" s="16"/>
      <c r="G185" s="27" t="str">
        <f>IF($M$184="✖ 回答不要","【回答不要】 ","")&amp;"  └ ソフトウェアのインストール制御"</f>
        <v>  └ ソフトウェアのインストール制御</v>
      </c>
      <c r="H185" s="14"/>
      <c r="I185" s="16"/>
      <c r="J185" s="16"/>
      <c r="K185" s="16"/>
      <c r="L185" s="20"/>
      <c r="M185" s="17" t="str">
        <f t="shared" si="11"/>
        <v>要回答</v>
      </c>
    </row>
    <row r="186" ht="54.0" customHeight="1" outlineLevel="1">
      <c r="A186" s="16"/>
      <c r="B186" s="16"/>
      <c r="C186" s="16"/>
      <c r="D186" s="16"/>
      <c r="E186" s="16"/>
      <c r="F186" s="16"/>
      <c r="G186" s="27" t="str">
        <f>IF($M$184="✖ 回答不要","【回答不要】 ","")&amp;"  └ セキュリティ関連設定の変更制御"</f>
        <v>  └ セキュリティ関連設定の変更制御</v>
      </c>
      <c r="H186" s="14"/>
      <c r="I186" s="16"/>
      <c r="J186" s="16"/>
      <c r="K186" s="16"/>
      <c r="L186" s="20"/>
      <c r="M186" s="17" t="str">
        <f t="shared" si="11"/>
        <v>要回答</v>
      </c>
    </row>
    <row r="187" ht="54.0" customHeight="1" outlineLevel="1">
      <c r="A187" s="16"/>
      <c r="B187" s="16"/>
      <c r="C187" s="16"/>
      <c r="D187" s="16"/>
      <c r="E187" s="16"/>
      <c r="F187" s="16"/>
      <c r="G187" s="27" t="str">
        <f>IF($M$184="✖ 回答不要","【回答不要】 ","")&amp;"  └ その他"&amp;CHAR(10)&amp;"       [詳細*]"</f>
        <v>  └ その他
       [詳細*]</v>
      </c>
      <c r="H187" s="14"/>
      <c r="I187" s="15"/>
      <c r="J187" s="16"/>
      <c r="K187" s="16"/>
      <c r="L187" s="20"/>
      <c r="M187" s="17" t="str">
        <f t="shared" si="11"/>
        <v>要回答</v>
      </c>
    </row>
    <row r="188" ht="54.0" customHeight="1" outlineLevel="1">
      <c r="A188" s="16"/>
      <c r="B188" s="16"/>
      <c r="C188" s="16"/>
      <c r="D188" s="16"/>
      <c r="E188" s="16"/>
      <c r="F188" s="16"/>
      <c r="G188" s="26" t="str">
        <f>IF($M$184="✖ 回答不要","【回答不要】 ","")&amp;"端末における導入ソフトウェアのモニタリングを実施している"</f>
        <v>端末における導入ソフトウェアのモニタリングを実施している</v>
      </c>
      <c r="H188" s="14"/>
      <c r="I188" s="16"/>
      <c r="J188" s="16"/>
      <c r="K188" s="16"/>
      <c r="L188" s="15"/>
      <c r="M188" s="17" t="str">
        <f t="shared" si="11"/>
        <v>要回答</v>
      </c>
    </row>
    <row r="189" ht="54.0" customHeight="1" outlineLevel="1">
      <c r="A189" s="16"/>
      <c r="B189" s="16"/>
      <c r="C189" s="16"/>
      <c r="D189" s="16"/>
      <c r="E189" s="16"/>
      <c r="F189" s="16"/>
      <c r="G189" s="26" t="str">
        <f>IF($M$184="✖ 回答不要","【回答不要】 ","")&amp;"その他"&amp;CHAR(10)&amp;"   └ [詳細*]"</f>
        <v>その他
   └ [詳細*]</v>
      </c>
      <c r="H189" s="14"/>
      <c r="I189" s="15"/>
      <c r="J189" s="16"/>
      <c r="K189" s="16"/>
      <c r="L189" s="15"/>
      <c r="M189" s="17" t="str">
        <f t="shared" si="11"/>
        <v>要回答</v>
      </c>
    </row>
    <row r="190" ht="54.0" customHeight="1" outlineLevel="1">
      <c r="A190" s="16"/>
      <c r="B190" s="16"/>
      <c r="C190" s="16"/>
      <c r="D190" s="16"/>
      <c r="E190" s="16"/>
      <c r="F190" s="16"/>
      <c r="G190" s="26" t="str">
        <f>IF($M$184="✖ 回答不要","【回答不要】 ","")&amp;"該当なし"</f>
        <v>該当なし</v>
      </c>
      <c r="H190" s="14"/>
      <c r="I190" s="16"/>
      <c r="J190" s="16"/>
      <c r="K190" s="16"/>
      <c r="L190" s="15"/>
      <c r="M190" s="17" t="str">
        <f t="shared" si="11"/>
        <v>要回答</v>
      </c>
    </row>
    <row r="191" ht="54.0" customHeight="1" outlineLevel="1">
      <c r="A191" s="16"/>
      <c r="B191" s="16"/>
      <c r="C191" s="16"/>
      <c r="D191" s="16"/>
      <c r="E191" s="16"/>
      <c r="F191" s="16"/>
      <c r="G191" s="26" t="str">
        <f>IF($M$184="✖ 回答不要","【回答不要】 ","")&amp;"非公開"</f>
        <v>非公開</v>
      </c>
      <c r="H191" s="14"/>
      <c r="I191" s="16"/>
      <c r="J191" s="16"/>
      <c r="K191" s="16"/>
      <c r="L191" s="15"/>
      <c r="M191" s="17" t="str">
        <f t="shared" si="11"/>
        <v>要回答</v>
      </c>
    </row>
    <row r="192" ht="54.0" customHeight="1" outlineLevel="1">
      <c r="A192" s="21">
        <v>26.0</v>
      </c>
      <c r="B192" s="22" t="str">
        <f>$M$192</f>
        <v>要回答</v>
      </c>
      <c r="C192" s="23" t="s">
        <v>30</v>
      </c>
      <c r="D192" s="28" t="s">
        <v>58</v>
      </c>
      <c r="E192" s="24" t="s">
        <v>59</v>
      </c>
      <c r="F192" s="25" t="str">
        <f>IF($M$192="✖ 回答不要","【この設問は回答不要です】"&amp;CHAR(10),"")&amp;"端末における脆弱性管理について、実施している対策をすべて選択してください。"</f>
        <v>端末における脆弱性管理について、実施している対策をすべて選択してください。</v>
      </c>
      <c r="G192" s="26" t="str">
        <f>IF($M$192="✖ 回答不要","【回答不要】 ","")&amp;"端末の脆弱性管理およびセキュリティパッチ適用に関するルールを定めている"</f>
        <v>端末の脆弱性管理およびセキュリティパッチ適用に関するルールを定めている</v>
      </c>
      <c r="H192" s="14"/>
      <c r="I192" s="16"/>
      <c r="J192" s="16"/>
      <c r="K192" s="16"/>
      <c r="L192" s="15"/>
      <c r="M192" s="17" t="str">
        <f t="shared" si="11"/>
        <v>要回答</v>
      </c>
    </row>
    <row r="193" ht="54.0" customHeight="1" outlineLevel="1">
      <c r="A193" s="16"/>
      <c r="B193" s="16"/>
      <c r="C193" s="16"/>
      <c r="D193" s="16"/>
      <c r="E193" s="16"/>
      <c r="F193" s="16"/>
      <c r="G193" s="26" t="str">
        <f>IF($M$192="✖ 回答不要","【回答不要】 ","")&amp;"端末におけるセキュリティパッチ適用の状況を把握している"</f>
        <v>端末におけるセキュリティパッチ適用の状況を把握している</v>
      </c>
      <c r="H193" s="14"/>
      <c r="I193" s="16"/>
      <c r="J193" s="16"/>
      <c r="K193" s="16"/>
      <c r="L193" s="15"/>
      <c r="M193" s="17" t="str">
        <f t="shared" si="11"/>
        <v>要回答</v>
      </c>
    </row>
    <row r="194" ht="54.0" customHeight="1" outlineLevel="1">
      <c r="A194" s="16"/>
      <c r="B194" s="16"/>
      <c r="C194" s="16"/>
      <c r="D194" s="16"/>
      <c r="E194" s="16"/>
      <c r="F194" s="16"/>
      <c r="G194" s="26" t="str">
        <f>IF($M$192="✖ 回答不要","【回答不要】 ","")&amp;"端末に対するセキュリティパッチは自動的に適用されている"&amp;CHAR(10)&amp;"   └ [適用タイミング*]"</f>
        <v>端末に対するセキュリティパッチは自動的に適用されている
   └ [適用タイミング*]</v>
      </c>
      <c r="H194" s="14"/>
      <c r="I194" s="15"/>
      <c r="J194" s="16"/>
      <c r="K194" s="16"/>
      <c r="L194" s="15"/>
      <c r="M194" s="17" t="str">
        <f t="shared" si="11"/>
        <v>要回答</v>
      </c>
    </row>
    <row r="195" ht="54.0" customHeight="1" outlineLevel="1">
      <c r="A195" s="16"/>
      <c r="B195" s="16"/>
      <c r="C195" s="16"/>
      <c r="D195" s="16"/>
      <c r="E195" s="16"/>
      <c r="F195" s="16"/>
      <c r="G195" s="26" t="str">
        <f>IF($M$192="✖ 回答不要","【回答不要】 ","")&amp;"その他"&amp;CHAR(10)&amp;"   └ [詳細*]"</f>
        <v>その他
   └ [詳細*]</v>
      </c>
      <c r="H195" s="14"/>
      <c r="I195" s="15"/>
      <c r="J195" s="16"/>
      <c r="K195" s="16"/>
      <c r="L195" s="15"/>
      <c r="M195" s="17" t="str">
        <f t="shared" si="11"/>
        <v>要回答</v>
      </c>
    </row>
    <row r="196" ht="54.0" customHeight="1" outlineLevel="1">
      <c r="A196" s="16"/>
      <c r="B196" s="16"/>
      <c r="C196" s="16"/>
      <c r="D196" s="16"/>
      <c r="E196" s="16"/>
      <c r="F196" s="16"/>
      <c r="G196" s="26" t="str">
        <f>IF($M$192="✖ 回答不要","【回答不要】 ","")&amp;"該当なし"</f>
        <v>該当なし</v>
      </c>
      <c r="H196" s="14"/>
      <c r="I196" s="16"/>
      <c r="J196" s="16"/>
      <c r="K196" s="16"/>
      <c r="L196" s="15"/>
      <c r="M196" s="17" t="str">
        <f t="shared" si="11"/>
        <v>要回答</v>
      </c>
    </row>
    <row r="197" ht="54.0" customHeight="1" outlineLevel="1">
      <c r="A197" s="16"/>
      <c r="B197" s="16"/>
      <c r="C197" s="16"/>
      <c r="D197" s="16"/>
      <c r="E197" s="16"/>
      <c r="F197" s="16"/>
      <c r="G197" s="26" t="str">
        <f>IF($M$192="✖ 回答不要","【回答不要】 ","")&amp;"非公開"</f>
        <v>非公開</v>
      </c>
      <c r="H197" s="14"/>
      <c r="I197" s="16"/>
      <c r="J197" s="16"/>
      <c r="K197" s="16"/>
      <c r="L197" s="15"/>
      <c r="M197" s="17" t="str">
        <f t="shared" si="11"/>
        <v>要回答</v>
      </c>
    </row>
    <row r="198" ht="54.0" customHeight="1" outlineLevel="1">
      <c r="A198" s="21">
        <v>27.0</v>
      </c>
      <c r="B198" s="22" t="str">
        <f>$M$198</f>
        <v>要回答</v>
      </c>
      <c r="C198" s="23" t="s">
        <v>30</v>
      </c>
      <c r="D198" s="28" t="s">
        <v>60</v>
      </c>
      <c r="E198" s="24" t="s">
        <v>61</v>
      </c>
      <c r="F198" s="25" t="str">
        <f>IF($M$198="✖ 回答不要","【この設問は回答不要です】"&amp;CHAR(10),"")&amp;"端末における紛失・盗難時の対策について、該当する選択肢をすべて選択してください。"</f>
        <v>端末における紛失・盗難時の対策について、該当する選択肢をすべて選択してください。</v>
      </c>
      <c r="G198" s="26" t="str">
        <f>IF($M$198="✖ 回答不要","【回答不要】 ","")&amp;"端末の紛失・盗難対策を実施している"</f>
        <v>端末の紛失・盗難対策を実施している</v>
      </c>
      <c r="H198" s="14"/>
      <c r="I198" s="16"/>
      <c r="J198" s="16"/>
      <c r="K198" s="16"/>
      <c r="L198" s="15"/>
      <c r="M198" s="17" t="str">
        <f t="shared" si="11"/>
        <v>要回答</v>
      </c>
    </row>
    <row r="199" ht="54.0" customHeight="1" outlineLevel="1">
      <c r="A199" s="16"/>
      <c r="B199" s="16"/>
      <c r="C199" s="16"/>
      <c r="D199" s="16"/>
      <c r="E199" s="16"/>
      <c r="F199" s="16"/>
      <c r="G199" s="27" t="str">
        <f>IF($M$198="✖ 回答不要","【回答不要】 ","")&amp;"  └ 端末の記憶装置（HDDやSSD等）の暗号化"</f>
        <v>  └ 端末の記憶装置（HDDやSSD等）の暗号化</v>
      </c>
      <c r="H199" s="14"/>
      <c r="I199" s="16"/>
      <c r="J199" s="16"/>
      <c r="K199" s="16"/>
      <c r="L199" s="20"/>
      <c r="M199" s="17" t="str">
        <f t="shared" si="11"/>
        <v>要回答</v>
      </c>
    </row>
    <row r="200" ht="54.0" customHeight="1" outlineLevel="1">
      <c r="A200" s="16"/>
      <c r="B200" s="16"/>
      <c r="C200" s="16"/>
      <c r="D200" s="16"/>
      <c r="E200" s="16"/>
      <c r="F200" s="16"/>
      <c r="G200" s="27" t="str">
        <f>IF($M$198="✖ 回答不要","【回答不要】 ","")&amp;"  └ リモートロック"</f>
        <v>  └ リモートロック</v>
      </c>
      <c r="H200" s="14"/>
      <c r="I200" s="16"/>
      <c r="J200" s="16"/>
      <c r="K200" s="16"/>
      <c r="L200" s="20"/>
      <c r="M200" s="17" t="str">
        <f t="shared" si="11"/>
        <v>要回答</v>
      </c>
    </row>
    <row r="201" ht="54.0" customHeight="1" outlineLevel="1">
      <c r="A201" s="16"/>
      <c r="B201" s="16"/>
      <c r="C201" s="16"/>
      <c r="D201" s="16"/>
      <c r="E201" s="16"/>
      <c r="F201" s="16"/>
      <c r="G201" s="27" t="str">
        <f>IF($M$198="✖ 回答不要","【回答不要】 ","")&amp;"  └ リモートワイプ"</f>
        <v>  └ リモートワイプ</v>
      </c>
      <c r="H201" s="14"/>
      <c r="I201" s="16"/>
      <c r="J201" s="16"/>
      <c r="K201" s="16"/>
      <c r="L201" s="20"/>
      <c r="M201" s="17" t="str">
        <f t="shared" si="11"/>
        <v>要回答</v>
      </c>
    </row>
    <row r="202" ht="54.0" customHeight="1" outlineLevel="1">
      <c r="A202" s="16"/>
      <c r="B202" s="16"/>
      <c r="C202" s="16"/>
      <c r="D202" s="16"/>
      <c r="E202" s="16"/>
      <c r="F202" s="16"/>
      <c r="G202" s="27" t="str">
        <f>IF($M$198="✖ 回答不要","【回答不要】 ","")&amp;"  └ その他"&amp;CHAR(10)&amp;"       [詳細*]"</f>
        <v>  └ その他
       [詳細*]</v>
      </c>
      <c r="H202" s="14"/>
      <c r="I202" s="15"/>
      <c r="J202" s="16"/>
      <c r="K202" s="16"/>
      <c r="L202" s="20"/>
      <c r="M202" s="17" t="str">
        <f t="shared" si="11"/>
        <v>要回答</v>
      </c>
    </row>
    <row r="203" ht="54.0" customHeight="1" outlineLevel="1">
      <c r="A203" s="16"/>
      <c r="B203" s="16"/>
      <c r="C203" s="16"/>
      <c r="D203" s="16"/>
      <c r="E203" s="16"/>
      <c r="F203" s="16"/>
      <c r="G203" s="26" t="str">
        <f>IF($M$198="✖ 回答不要","【回答不要】 ","")&amp;"端末にデータが保存されない方式（シンクライアントPC、データレスPC等）としている"&amp;CHAR(10)&amp;"   └ [詳細*]"</f>
        <v>端末にデータが保存されない方式（シンクライアントPC、データレスPC等）としている
   └ [詳細*]</v>
      </c>
      <c r="H203" s="14"/>
      <c r="I203" s="15"/>
      <c r="J203" s="16"/>
      <c r="K203" s="16"/>
      <c r="L203" s="15"/>
      <c r="M203" s="17" t="str">
        <f t="shared" si="11"/>
        <v>要回答</v>
      </c>
    </row>
    <row r="204" ht="54.0" customHeight="1" outlineLevel="1">
      <c r="A204" s="16"/>
      <c r="B204" s="16"/>
      <c r="C204" s="16"/>
      <c r="D204" s="16"/>
      <c r="E204" s="16"/>
      <c r="F204" s="16"/>
      <c r="G204" s="26" t="str">
        <f>IF($M$198="✖ 回答不要","【回答不要】 ","")&amp;"該当なし"</f>
        <v>該当なし</v>
      </c>
      <c r="H204" s="14"/>
      <c r="I204" s="16"/>
      <c r="J204" s="16"/>
      <c r="K204" s="16"/>
      <c r="L204" s="15"/>
      <c r="M204" s="17" t="str">
        <f t="shared" si="11"/>
        <v>要回答</v>
      </c>
    </row>
    <row r="205" ht="54.0" customHeight="1" outlineLevel="1">
      <c r="A205" s="16"/>
      <c r="B205" s="16"/>
      <c r="C205" s="16"/>
      <c r="D205" s="16"/>
      <c r="E205" s="16"/>
      <c r="F205" s="16"/>
      <c r="G205" s="26" t="str">
        <f>IF($M$198="✖ 回答不要","【回答不要】 ","")&amp;"非公開"</f>
        <v>非公開</v>
      </c>
      <c r="H205" s="14"/>
      <c r="I205" s="16"/>
      <c r="J205" s="16"/>
      <c r="K205" s="16"/>
      <c r="L205" s="15"/>
      <c r="M205" s="17" t="str">
        <f t="shared" si="11"/>
        <v>要回答</v>
      </c>
    </row>
    <row r="206" ht="54.0" customHeight="1" outlineLevel="1">
      <c r="A206" s="21">
        <v>28.0</v>
      </c>
      <c r="B206" s="22" t="str">
        <f>$M$206</f>
        <v>要回答</v>
      </c>
      <c r="C206" s="23" t="s">
        <v>30</v>
      </c>
      <c r="D206" s="28" t="s">
        <v>62</v>
      </c>
      <c r="E206" s="24" t="s">
        <v>63</v>
      </c>
      <c r="F206" s="25" t="str">
        <f>IF($M$206="✖ 回答不要","【この設問は回答不要です】"&amp;CHAR(10),"")&amp;"社内LAN（有線・無線）への接続制御について、実施している対策をすべて選択してください。"</f>
        <v>社内LAN（有線・無線）への接続制御について、実施している対策をすべて選択してください。</v>
      </c>
      <c r="G206" s="26" t="str">
        <f>IF($M$206="✖ 回答不要","【回答不要】 ","")&amp;"社内LAN（有線・無線）へ接続可能な端末を技術的に制御している"</f>
        <v>社内LAN（有線・無線）へ接続可能な端末を技術的に制御している</v>
      </c>
      <c r="H206" s="14"/>
      <c r="I206" s="16"/>
      <c r="J206" s="16"/>
      <c r="K206" s="16"/>
      <c r="L206" s="15"/>
      <c r="M206" s="17" t="str">
        <f t="shared" ref="M206:M214" si="12">IF(OR($H$32="○"),"✖ 回答不要","要回答")</f>
        <v>要回答</v>
      </c>
    </row>
    <row r="207" ht="54.0" customHeight="1" outlineLevel="1">
      <c r="A207" s="16"/>
      <c r="B207" s="16"/>
      <c r="C207" s="16"/>
      <c r="D207" s="16"/>
      <c r="E207" s="16"/>
      <c r="F207" s="16"/>
      <c r="G207" s="27" t="str">
        <f>IF($M$206="✖ 回答不要","【回答不要】 ","")&amp;"  └ MACアドレスフィルタリング"</f>
        <v>  └ MACアドレスフィルタリング</v>
      </c>
      <c r="H207" s="14"/>
      <c r="I207" s="16"/>
      <c r="J207" s="16"/>
      <c r="K207" s="16"/>
      <c r="L207" s="20"/>
      <c r="M207" s="17" t="str">
        <f t="shared" si="12"/>
        <v>要回答</v>
      </c>
    </row>
    <row r="208" ht="54.0" customHeight="1" outlineLevel="1">
      <c r="A208" s="16"/>
      <c r="B208" s="16"/>
      <c r="C208" s="16"/>
      <c r="D208" s="16"/>
      <c r="E208" s="16"/>
      <c r="F208" s="16"/>
      <c r="G208" s="27" t="str">
        <f>IF($M$206="✖ 回答不要","【回答不要】 ","")&amp;"  └ パスワード認証"</f>
        <v>  └ パスワード認証</v>
      </c>
      <c r="H208" s="14"/>
      <c r="I208" s="16"/>
      <c r="J208" s="16"/>
      <c r="K208" s="16"/>
      <c r="L208" s="20"/>
      <c r="M208" s="17" t="str">
        <f t="shared" si="12"/>
        <v>要回答</v>
      </c>
    </row>
    <row r="209" ht="54.0" customHeight="1" outlineLevel="1">
      <c r="A209" s="16"/>
      <c r="B209" s="16"/>
      <c r="C209" s="16"/>
      <c r="D209" s="16"/>
      <c r="E209" s="16"/>
      <c r="F209" s="16"/>
      <c r="G209" s="27" t="str">
        <f>IF($M$206="✖ 回答不要","【回答不要】 ","")&amp;"  └ 証明書認証"</f>
        <v>  └ 証明書認証</v>
      </c>
      <c r="H209" s="14"/>
      <c r="I209" s="16"/>
      <c r="J209" s="16"/>
      <c r="K209" s="16"/>
      <c r="L209" s="20"/>
      <c r="M209" s="17" t="str">
        <f t="shared" si="12"/>
        <v>要回答</v>
      </c>
    </row>
    <row r="210" ht="54.0" customHeight="1" outlineLevel="1">
      <c r="A210" s="16"/>
      <c r="B210" s="16"/>
      <c r="C210" s="16"/>
      <c r="D210" s="16"/>
      <c r="E210" s="16"/>
      <c r="F210" s="16"/>
      <c r="G210" s="27" t="str">
        <f>IF($M$206="✖ 回答不要","【回答不要】 ","")&amp;"  └ その他"&amp;CHAR(10)&amp;"       [詳細*]"</f>
        <v>  └ その他
       [詳細*]</v>
      </c>
      <c r="H210" s="14"/>
      <c r="I210" s="15"/>
      <c r="J210" s="16"/>
      <c r="K210" s="16"/>
      <c r="L210" s="20"/>
      <c r="M210" s="17" t="str">
        <f t="shared" si="12"/>
        <v>要回答</v>
      </c>
    </row>
    <row r="211" ht="54.0" customHeight="1" outlineLevel="1">
      <c r="A211" s="16"/>
      <c r="B211" s="16"/>
      <c r="C211" s="16"/>
      <c r="D211" s="16"/>
      <c r="E211" s="16"/>
      <c r="F211" s="16"/>
      <c r="G211" s="26" t="str">
        <f>IF($M$206="✖ 回答不要","【回答不要】 ","")&amp;"安全な暗号方式により無線LANを暗号化している"</f>
        <v>安全な暗号方式により無線LANを暗号化している</v>
      </c>
      <c r="H211" s="14"/>
      <c r="I211" s="16"/>
      <c r="J211" s="16"/>
      <c r="K211" s="16"/>
      <c r="L211" s="15"/>
      <c r="M211" s="17" t="str">
        <f t="shared" si="12"/>
        <v>要回答</v>
      </c>
    </row>
    <row r="212" ht="54.0" customHeight="1" outlineLevel="1">
      <c r="A212" s="16"/>
      <c r="B212" s="16"/>
      <c r="C212" s="16"/>
      <c r="D212" s="16"/>
      <c r="E212" s="16"/>
      <c r="F212" s="16"/>
      <c r="G212" s="26" t="str">
        <f>IF($M$206="✖ 回答不要","【回答不要】 ","")&amp;"その他"&amp;CHAR(10)&amp;"   └ [詳細*]"</f>
        <v>その他
   └ [詳細*]</v>
      </c>
      <c r="H212" s="14"/>
      <c r="I212" s="15"/>
      <c r="J212" s="16"/>
      <c r="K212" s="16"/>
      <c r="L212" s="15"/>
      <c r="M212" s="17" t="str">
        <f t="shared" si="12"/>
        <v>要回答</v>
      </c>
    </row>
    <row r="213" ht="54.0" customHeight="1" outlineLevel="1">
      <c r="A213" s="16"/>
      <c r="B213" s="16"/>
      <c r="C213" s="16"/>
      <c r="D213" s="16"/>
      <c r="E213" s="16"/>
      <c r="F213" s="16"/>
      <c r="G213" s="26" t="str">
        <f>IF($M$206="✖ 回答不要","【回答不要】 ","")&amp;"該当なし"</f>
        <v>該当なし</v>
      </c>
      <c r="H213" s="14"/>
      <c r="I213" s="16"/>
      <c r="J213" s="16"/>
      <c r="K213" s="16"/>
      <c r="L213" s="15"/>
      <c r="M213" s="17" t="str">
        <f t="shared" si="12"/>
        <v>要回答</v>
      </c>
    </row>
    <row r="214" ht="54.0" customHeight="1" outlineLevel="1">
      <c r="A214" s="16"/>
      <c r="B214" s="16"/>
      <c r="C214" s="16"/>
      <c r="D214" s="16"/>
      <c r="E214" s="16"/>
      <c r="F214" s="16"/>
      <c r="G214" s="26" t="str">
        <f>IF($M$206="✖ 回答不要","【回答不要】 ","")&amp;"非公開"</f>
        <v>非公開</v>
      </c>
      <c r="H214" s="14"/>
      <c r="I214" s="16"/>
      <c r="J214" s="16"/>
      <c r="K214" s="16"/>
      <c r="L214" s="15"/>
      <c r="M214" s="17" t="str">
        <f t="shared" si="12"/>
        <v>要回答</v>
      </c>
    </row>
    <row r="215" ht="54.0" customHeight="1" outlineLevel="1">
      <c r="A215" s="21">
        <v>29.0</v>
      </c>
      <c r="B215" s="22" t="str">
        <f>$M$215</f>
        <v>要回答</v>
      </c>
      <c r="C215" s="23" t="s">
        <v>30</v>
      </c>
      <c r="D215" s="28" t="s">
        <v>64</v>
      </c>
      <c r="E215" s="24" t="s">
        <v>65</v>
      </c>
      <c r="F215" s="25" t="str">
        <f>IF($M$215="✖ 回答不要","【この設問は回答不要です】"&amp;CHAR(10),"")&amp;"私用端末（PC、スマートフォン等）を業務利用していますか。"</f>
        <v>私用端末（PC、スマートフォン等）を業務利用していますか。</v>
      </c>
      <c r="G215" s="26" t="str">
        <f>IF($M$215="✖ 回答不要","【回答不要】 ","")&amp;"はい"</f>
        <v>はい</v>
      </c>
      <c r="H215" s="14"/>
      <c r="I215" s="16"/>
      <c r="J215" s="16"/>
      <c r="K215" s="16"/>
      <c r="L215" s="15"/>
      <c r="M215" s="17" t="str">
        <f t="shared" ref="M215:M217" si="13">IF(OR($H$35="○"),"✖ 回答不要","要回答")</f>
        <v>要回答</v>
      </c>
    </row>
    <row r="216" ht="54.0" customHeight="1" outlineLevel="1">
      <c r="A216" s="16"/>
      <c r="B216" s="16"/>
      <c r="C216" s="16"/>
      <c r="D216" s="16"/>
      <c r="E216" s="16"/>
      <c r="F216" s="16"/>
      <c r="G216" s="26" t="str">
        <f>IF($M$215="✖ 回答不要","【回答不要】 ","")&amp;"いいえ"</f>
        <v>いいえ</v>
      </c>
      <c r="H216" s="14"/>
      <c r="I216" s="16"/>
      <c r="J216" s="16"/>
      <c r="K216" s="16"/>
      <c r="L216" s="15"/>
      <c r="M216" s="17" t="str">
        <f t="shared" si="13"/>
        <v>要回答</v>
      </c>
    </row>
    <row r="217" ht="54.0" customHeight="1" outlineLevel="1">
      <c r="A217" s="16"/>
      <c r="B217" s="16"/>
      <c r="C217" s="16"/>
      <c r="D217" s="16"/>
      <c r="E217" s="16"/>
      <c r="F217" s="16"/>
      <c r="G217" s="26" t="str">
        <f>IF($M$215="✖ 回答不要","【回答不要】 ","")&amp;"非公開"</f>
        <v>非公開</v>
      </c>
      <c r="H217" s="14"/>
      <c r="I217" s="16"/>
      <c r="J217" s="16"/>
      <c r="K217" s="16"/>
      <c r="L217" s="15"/>
      <c r="M217" s="17" t="str">
        <f t="shared" si="13"/>
        <v>要回答</v>
      </c>
    </row>
    <row r="218" ht="54.0" customHeight="1" outlineLevel="1">
      <c r="A218" s="21">
        <v>30.0</v>
      </c>
      <c r="B218" s="22" t="str">
        <f>$M$218</f>
        <v>要回答</v>
      </c>
      <c r="C218" s="23" t="s">
        <v>30</v>
      </c>
      <c r="D218" s="28" t="s">
        <v>66</v>
      </c>
      <c r="E218" s="24" t="s">
        <v>67</v>
      </c>
      <c r="F218" s="25" t="str">
        <f>IF($M$218="✖ 回答不要","【この設問は回答不要です】"&amp;CHAR(10),"")&amp;"私用端末（PC、スマートフォン等）のセキュリティ対策について、実施している対策をすべて選択してください。"</f>
        <v>私用端末（PC、スマートフォン等）のセキュリティ対策について、実施している対策をすべて選択してください。</v>
      </c>
      <c r="G218" s="26" t="str">
        <f>IF($M$218="✖ 回答不要","【回答不要】 ","")&amp;"私用端末上に企業領域を設定し、企業領域外への業務情報の持ち出しを制御している"</f>
        <v>私用端末上に企業領域を設定し、企業領域外への業務情報の持ち出しを制御している</v>
      </c>
      <c r="H218" s="14"/>
      <c r="I218" s="16"/>
      <c r="J218" s="16"/>
      <c r="K218" s="16"/>
      <c r="L218" s="15"/>
      <c r="M218" s="17" t="str">
        <f t="shared" ref="M218:M222" si="14">IF(OR(OR($H$35="○"),OR($H$216="○")),"✖ 回答不要","要回答")</f>
        <v>要回答</v>
      </c>
    </row>
    <row r="219" ht="54.0" customHeight="1" outlineLevel="1">
      <c r="A219" s="16"/>
      <c r="B219" s="16"/>
      <c r="C219" s="16"/>
      <c r="D219" s="16"/>
      <c r="E219" s="16"/>
      <c r="F219" s="16"/>
      <c r="G219" s="26" t="str">
        <f>IF($M$218="✖ 回答不要","【回答不要】 ","")&amp;"私用端末上に業務情報を保存していない"</f>
        <v>私用端末上に業務情報を保存していない</v>
      </c>
      <c r="H219" s="14"/>
      <c r="I219" s="16"/>
      <c r="J219" s="16"/>
      <c r="K219" s="16"/>
      <c r="L219" s="15"/>
      <c r="M219" s="17" t="str">
        <f t="shared" si="14"/>
        <v>要回答</v>
      </c>
    </row>
    <row r="220" ht="54.0" customHeight="1" outlineLevel="1">
      <c r="A220" s="16"/>
      <c r="B220" s="16"/>
      <c r="C220" s="16"/>
      <c r="D220" s="16"/>
      <c r="E220" s="16"/>
      <c r="F220" s="16"/>
      <c r="G220" s="26" t="str">
        <f>IF($M$218="✖ 回答不要","【回答不要】 ","")&amp;"その他"&amp;CHAR(10)&amp;"   └ [詳細*]"</f>
        <v>その他
   └ [詳細*]</v>
      </c>
      <c r="H220" s="14"/>
      <c r="I220" s="15"/>
      <c r="J220" s="16"/>
      <c r="K220" s="16"/>
      <c r="L220" s="15"/>
      <c r="M220" s="17" t="str">
        <f t="shared" si="14"/>
        <v>要回答</v>
      </c>
    </row>
    <row r="221" ht="54.0" customHeight="1" outlineLevel="1">
      <c r="A221" s="16"/>
      <c r="B221" s="16"/>
      <c r="C221" s="16"/>
      <c r="D221" s="16"/>
      <c r="E221" s="16"/>
      <c r="F221" s="16"/>
      <c r="G221" s="26" t="str">
        <f>IF($M$218="✖ 回答不要","【回答不要】 ","")&amp;"該当なし"</f>
        <v>該当なし</v>
      </c>
      <c r="H221" s="14"/>
      <c r="I221" s="16"/>
      <c r="J221" s="16"/>
      <c r="K221" s="16"/>
      <c r="L221" s="15"/>
      <c r="M221" s="17" t="str">
        <f t="shared" si="14"/>
        <v>要回答</v>
      </c>
    </row>
    <row r="222" ht="54.0" customHeight="1" outlineLevel="1">
      <c r="A222" s="16"/>
      <c r="B222" s="16"/>
      <c r="C222" s="16"/>
      <c r="D222" s="16"/>
      <c r="E222" s="16"/>
      <c r="F222" s="16"/>
      <c r="G222" s="26" t="str">
        <f>IF($M$218="✖ 回答不要","【回答不要】 ","")&amp;"非公開"</f>
        <v>非公開</v>
      </c>
      <c r="H222" s="14"/>
      <c r="I222" s="16"/>
      <c r="J222" s="16"/>
      <c r="K222" s="16"/>
      <c r="L222" s="15"/>
      <c r="M222" s="17" t="str">
        <f t="shared" si="14"/>
        <v>要回答</v>
      </c>
    </row>
    <row r="223" ht="54.0" customHeight="1" outlineLevel="1">
      <c r="A223" s="21">
        <v>31.0</v>
      </c>
      <c r="B223" s="22" t="str">
        <f>$M$223</f>
        <v>要回答</v>
      </c>
      <c r="C223" s="23" t="s">
        <v>30</v>
      </c>
      <c r="D223" s="28" t="s">
        <v>68</v>
      </c>
      <c r="E223" s="24" t="s">
        <v>69</v>
      </c>
      <c r="F223" s="25" t="str">
        <f>IF($M$223="✖ 回答不要","【この設問は回答不要です】"&amp;CHAR(10),"")&amp;"端末経由の情報漏えい対策について、実施している対策をすべて選択してください。"</f>
        <v>端末経由の情報漏えい対策について、実施している対策をすべて選択してください。</v>
      </c>
      <c r="G223" s="26" t="str">
        <f>IF($M$223="✖ 回答不要","【回答不要】 ","")&amp;"インターネット経由での情報漏えい対策を実施している"</f>
        <v>インターネット経由での情報漏えい対策を実施している</v>
      </c>
      <c r="H223" s="14"/>
      <c r="I223" s="16"/>
      <c r="J223" s="16"/>
      <c r="K223" s="16"/>
      <c r="L223" s="15"/>
      <c r="M223" s="17" t="str">
        <f t="shared" ref="M223:M236" si="15">IF(OR($H$35="○"),"✖ 回答不要","要回答")</f>
        <v>要回答</v>
      </c>
    </row>
    <row r="224" ht="54.0" customHeight="1" outlineLevel="1">
      <c r="A224" s="16"/>
      <c r="B224" s="16"/>
      <c r="C224" s="16"/>
      <c r="D224" s="16"/>
      <c r="E224" s="16"/>
      <c r="F224" s="16"/>
      <c r="G224" s="27" t="str">
        <f>IF($M$223="✖ 回答不要","【回答不要】 ","")&amp;"  └ 悪意のあるWebサイトへの接続制御"</f>
        <v>  └ 悪意のあるWebサイトへの接続制御</v>
      </c>
      <c r="H224" s="14"/>
      <c r="I224" s="16"/>
      <c r="J224" s="16"/>
      <c r="K224" s="16"/>
      <c r="L224" s="20"/>
      <c r="M224" s="17" t="str">
        <f t="shared" si="15"/>
        <v>要回答</v>
      </c>
    </row>
    <row r="225" ht="54.0" customHeight="1" outlineLevel="1">
      <c r="A225" s="16"/>
      <c r="B225" s="16"/>
      <c r="C225" s="16"/>
      <c r="D225" s="16"/>
      <c r="E225" s="16"/>
      <c r="F225" s="16"/>
      <c r="G225" s="27" t="str">
        <f>IF($M$223="✖ 回答不要","【回答不要】 ","")&amp;"  └ ファイルアップロードの制御"</f>
        <v>  └ ファイルアップロードの制御</v>
      </c>
      <c r="H225" s="14"/>
      <c r="I225" s="16"/>
      <c r="J225" s="16"/>
      <c r="K225" s="16"/>
      <c r="L225" s="20"/>
      <c r="M225" s="17" t="str">
        <f t="shared" si="15"/>
        <v>要回答</v>
      </c>
    </row>
    <row r="226" ht="54.0" customHeight="1" outlineLevel="1">
      <c r="A226" s="16"/>
      <c r="B226" s="16"/>
      <c r="C226" s="16"/>
      <c r="D226" s="16"/>
      <c r="E226" s="16"/>
      <c r="F226" s="16"/>
      <c r="G226" s="27" t="str">
        <f>IF($M$223="✖ 回答不要","【回答不要】 ","")&amp;"  └ その他"&amp;CHAR(10)&amp;"       [詳細*]"</f>
        <v>  └ その他
       [詳細*]</v>
      </c>
      <c r="H226" s="14"/>
      <c r="I226" s="15"/>
      <c r="J226" s="16"/>
      <c r="K226" s="16"/>
      <c r="L226" s="20"/>
      <c r="M226" s="17" t="str">
        <f t="shared" si="15"/>
        <v>要回答</v>
      </c>
    </row>
    <row r="227" ht="54.0" customHeight="1" outlineLevel="1">
      <c r="A227" s="16"/>
      <c r="B227" s="16"/>
      <c r="C227" s="16"/>
      <c r="D227" s="16"/>
      <c r="E227" s="16"/>
      <c r="F227" s="16"/>
      <c r="G227" s="26" t="str">
        <f>IF($M$223="✖ 回答不要","【回答不要】 ","")&amp;"メール経由での情報漏えい対策を実施している"</f>
        <v>メール経由での情報漏えい対策を実施している</v>
      </c>
      <c r="H227" s="14"/>
      <c r="I227" s="16"/>
      <c r="J227" s="16"/>
      <c r="K227" s="16"/>
      <c r="L227" s="15"/>
      <c r="M227" s="17" t="str">
        <f t="shared" si="15"/>
        <v>要回答</v>
      </c>
    </row>
    <row r="228" ht="54.0" customHeight="1" outlineLevel="1">
      <c r="A228" s="16"/>
      <c r="B228" s="16"/>
      <c r="C228" s="16"/>
      <c r="D228" s="16"/>
      <c r="E228" s="16"/>
      <c r="F228" s="16"/>
      <c r="G228" s="27" t="str">
        <f>IF($M$223="✖ 回答不要","【回答不要】 ","")&amp;"  └ 外部への添付ファイル付きメールの上長承認"</f>
        <v>  └ 外部への添付ファイル付きメールの上長承認</v>
      </c>
      <c r="H228" s="14"/>
      <c r="I228" s="16"/>
      <c r="J228" s="16"/>
      <c r="K228" s="16"/>
      <c r="L228" s="20"/>
      <c r="M228" s="17" t="str">
        <f t="shared" si="15"/>
        <v>要回答</v>
      </c>
    </row>
    <row r="229" ht="54.0" customHeight="1" outlineLevel="1">
      <c r="A229" s="16"/>
      <c r="B229" s="16"/>
      <c r="C229" s="16"/>
      <c r="D229" s="16"/>
      <c r="E229" s="16"/>
      <c r="F229" s="16"/>
      <c r="G229" s="27" t="str">
        <f>IF($M$223="✖ 回答不要","【回答不要】 ","")&amp;"  └ 外部への添付ファイル付きメールのモニタリング"</f>
        <v>  └ 外部への添付ファイル付きメールのモニタリング</v>
      </c>
      <c r="H229" s="14"/>
      <c r="I229" s="16"/>
      <c r="J229" s="16"/>
      <c r="K229" s="16"/>
      <c r="L229" s="20"/>
      <c r="M229" s="17" t="str">
        <f t="shared" si="15"/>
        <v>要回答</v>
      </c>
    </row>
    <row r="230" ht="54.0" customHeight="1" outlineLevel="1">
      <c r="A230" s="16"/>
      <c r="B230" s="16"/>
      <c r="C230" s="16"/>
      <c r="D230" s="16"/>
      <c r="E230" s="16"/>
      <c r="F230" s="16"/>
      <c r="G230" s="27" t="str">
        <f>IF($M$223="✖ 回答不要","【回答不要】 ","")&amp;"  └ その他"&amp;CHAR(10)&amp;"       [詳細*]"</f>
        <v>  └ その他
       [詳細*]</v>
      </c>
      <c r="H230" s="14"/>
      <c r="I230" s="15"/>
      <c r="J230" s="16"/>
      <c r="K230" s="16"/>
      <c r="L230" s="20"/>
      <c r="M230" s="17" t="str">
        <f t="shared" si="15"/>
        <v>要回答</v>
      </c>
    </row>
    <row r="231" ht="54.0" customHeight="1" outlineLevel="1">
      <c r="A231" s="16"/>
      <c r="B231" s="16"/>
      <c r="C231" s="16"/>
      <c r="D231" s="16"/>
      <c r="E231" s="16"/>
      <c r="F231" s="16"/>
      <c r="G231" s="26" t="str">
        <f>IF($M$223="✖ 回答不要","【回答不要】 ","")&amp;"プリンター経由での情報漏えい対策を実施している"</f>
        <v>プリンター経由での情報漏えい対策を実施している</v>
      </c>
      <c r="H231" s="14"/>
      <c r="I231" s="16"/>
      <c r="J231" s="16"/>
      <c r="K231" s="16"/>
      <c r="L231" s="15"/>
      <c r="M231" s="17" t="str">
        <f t="shared" si="15"/>
        <v>要回答</v>
      </c>
    </row>
    <row r="232" ht="54.0" customHeight="1" outlineLevel="1">
      <c r="A232" s="16"/>
      <c r="B232" s="16"/>
      <c r="C232" s="16"/>
      <c r="D232" s="16"/>
      <c r="E232" s="16"/>
      <c r="F232" s="16"/>
      <c r="G232" s="27" t="str">
        <f>IF($M$223="✖ 回答不要","【回答不要】 ","")&amp;"  └ 許可されたプリンターのみに印刷を制限"</f>
        <v>  └ 許可されたプリンターのみに印刷を制限</v>
      </c>
      <c r="H232" s="14"/>
      <c r="I232" s="16"/>
      <c r="J232" s="16"/>
      <c r="K232" s="16"/>
      <c r="L232" s="20"/>
      <c r="M232" s="17" t="str">
        <f t="shared" si="15"/>
        <v>要回答</v>
      </c>
    </row>
    <row r="233" ht="54.0" customHeight="1" outlineLevel="1">
      <c r="A233" s="16"/>
      <c r="B233" s="16"/>
      <c r="C233" s="16"/>
      <c r="D233" s="16"/>
      <c r="E233" s="16"/>
      <c r="F233" s="16"/>
      <c r="G233" s="27" t="str">
        <f>IF($M$223="✖ 回答不要","【回答不要】 ","")&amp;"  └ プリンター側でのユーザー認証"</f>
        <v>  └ プリンター側でのユーザー認証</v>
      </c>
      <c r="H233" s="14"/>
      <c r="I233" s="16"/>
      <c r="J233" s="16"/>
      <c r="K233" s="16"/>
      <c r="L233" s="20"/>
      <c r="M233" s="17" t="str">
        <f t="shared" si="15"/>
        <v>要回答</v>
      </c>
    </row>
    <row r="234" ht="54.0" customHeight="1" outlineLevel="1">
      <c r="A234" s="16"/>
      <c r="B234" s="16"/>
      <c r="C234" s="16"/>
      <c r="D234" s="16"/>
      <c r="E234" s="16"/>
      <c r="F234" s="16"/>
      <c r="G234" s="27" t="str">
        <f>IF($M$223="✖ 回答不要","【回答不要】 ","")&amp;"  └ その他"&amp;CHAR(10)&amp;"       [詳細*]"</f>
        <v>  └ その他
       [詳細*]</v>
      </c>
      <c r="H234" s="14"/>
      <c r="I234" s="15"/>
      <c r="J234" s="16"/>
      <c r="K234" s="16"/>
      <c r="L234" s="20"/>
      <c r="M234" s="17" t="str">
        <f t="shared" si="15"/>
        <v>要回答</v>
      </c>
    </row>
    <row r="235" ht="54.0" customHeight="1" outlineLevel="1">
      <c r="A235" s="16"/>
      <c r="B235" s="16"/>
      <c r="C235" s="16"/>
      <c r="D235" s="16"/>
      <c r="E235" s="16"/>
      <c r="F235" s="16"/>
      <c r="G235" s="26" t="str">
        <f>IF($M$223="✖ 回答不要","【回答不要】 ","")&amp;"該当なし"</f>
        <v>該当なし</v>
      </c>
      <c r="H235" s="14"/>
      <c r="I235" s="16"/>
      <c r="J235" s="16"/>
      <c r="K235" s="16"/>
      <c r="L235" s="15"/>
      <c r="M235" s="17" t="str">
        <f t="shared" si="15"/>
        <v>要回答</v>
      </c>
    </row>
    <row r="236" ht="54.0" customHeight="1" outlineLevel="1">
      <c r="A236" s="16"/>
      <c r="B236" s="16"/>
      <c r="C236" s="16"/>
      <c r="D236" s="16"/>
      <c r="E236" s="16"/>
      <c r="F236" s="16"/>
      <c r="G236" s="26" t="str">
        <f>IF($M$223="✖ 回答不要","【回答不要】 ","")&amp;"非公開"</f>
        <v>非公開</v>
      </c>
      <c r="H236" s="14"/>
      <c r="I236" s="16"/>
      <c r="J236" s="16"/>
      <c r="K236" s="16"/>
      <c r="L236" s="15"/>
      <c r="M236" s="17" t="str">
        <f t="shared" si="15"/>
        <v>要回答</v>
      </c>
    </row>
    <row r="237" ht="54.0" customHeight="1" outlineLevel="1">
      <c r="A237" s="21">
        <v>32.0</v>
      </c>
      <c r="B237" s="22" t="str">
        <f>$M$237</f>
        <v>要回答</v>
      </c>
      <c r="C237" s="23" t="s">
        <v>30</v>
      </c>
      <c r="D237" s="28" t="s">
        <v>70</v>
      </c>
      <c r="E237" s="24" t="s">
        <v>71</v>
      </c>
      <c r="F237" s="25" t="str">
        <f>IF($M$237="✖ 回答不要","【この設問は回答不要です】"&amp;CHAR(10),"")&amp;"リモートワークを実施していますか。"</f>
        <v>リモートワークを実施していますか。</v>
      </c>
      <c r="G237" s="26" t="str">
        <f>IF($M$237="✖ 回答不要","【回答不要】 ","")&amp;"はい"</f>
        <v>はい</v>
      </c>
      <c r="H237" s="14"/>
      <c r="I237" s="16"/>
      <c r="J237" s="16"/>
      <c r="K237" s="16"/>
      <c r="L237" s="15"/>
      <c r="M237" s="17" t="str">
        <f t="shared" ref="M237:M239" si="16">IF(OR($H$32="○"),"✖ 回答不要","要回答")</f>
        <v>要回答</v>
      </c>
    </row>
    <row r="238" ht="54.0" customHeight="1" outlineLevel="1">
      <c r="A238" s="16"/>
      <c r="B238" s="16"/>
      <c r="C238" s="16"/>
      <c r="D238" s="16"/>
      <c r="E238" s="16"/>
      <c r="F238" s="16"/>
      <c r="G238" s="26" t="str">
        <f>IF($M$237="✖ 回答不要","【回答不要】 ","")&amp;"いいえ"</f>
        <v>いいえ</v>
      </c>
      <c r="H238" s="14"/>
      <c r="I238" s="16"/>
      <c r="J238" s="16"/>
      <c r="K238" s="16"/>
      <c r="L238" s="15"/>
      <c r="M238" s="17" t="str">
        <f t="shared" si="16"/>
        <v>要回答</v>
      </c>
    </row>
    <row r="239" ht="54.0" customHeight="1" outlineLevel="1">
      <c r="A239" s="16"/>
      <c r="B239" s="16"/>
      <c r="C239" s="16"/>
      <c r="D239" s="16"/>
      <c r="E239" s="16"/>
      <c r="F239" s="16"/>
      <c r="G239" s="26" t="str">
        <f>IF($M$237="✖ 回答不要","【回答不要】 ","")&amp;"非公開"</f>
        <v>非公開</v>
      </c>
      <c r="H239" s="14"/>
      <c r="I239" s="16"/>
      <c r="J239" s="16"/>
      <c r="K239" s="16"/>
      <c r="L239" s="15"/>
      <c r="M239" s="17" t="str">
        <f t="shared" si="16"/>
        <v>要回答</v>
      </c>
    </row>
    <row r="240" ht="54.0" customHeight="1" outlineLevel="1">
      <c r="A240" s="21">
        <v>33.0</v>
      </c>
      <c r="B240" s="22" t="str">
        <f>$M$240</f>
        <v>要回答</v>
      </c>
      <c r="C240" s="23" t="s">
        <v>30</v>
      </c>
      <c r="D240" s="28" t="s">
        <v>72</v>
      </c>
      <c r="E240" s="24" t="s">
        <v>73</v>
      </c>
      <c r="F240" s="25" t="str">
        <f>IF($M$240="✖ 回答不要","【この設問は回答不要です】"&amp;CHAR(10),"")&amp;"リモートワークに関するセキュリティルールや対策について、該当する選択肢をすべて選択してください。"</f>
        <v>リモートワークに関するセキュリティルールや対策について、該当する選択肢をすべて選択してください。</v>
      </c>
      <c r="G240" s="26" t="str">
        <f>IF($M$240="✖ 回答不要","【回答不要】 ","")&amp;"リモートワークに関するセキュリティルールを定めている"</f>
        <v>リモートワークに関するセキュリティルールを定めている</v>
      </c>
      <c r="H240" s="14"/>
      <c r="I240" s="16"/>
      <c r="J240" s="16"/>
      <c r="K240" s="16"/>
      <c r="L240" s="15"/>
      <c r="M240" s="17" t="str">
        <f t="shared" ref="M240:M245" si="17">IF(OR(OR($H$32="○"),OR($H$238="○")),"✖ 回答不要","要回答")</f>
        <v>要回答</v>
      </c>
    </row>
    <row r="241" ht="54.0" customHeight="1" outlineLevel="1">
      <c r="A241" s="16"/>
      <c r="B241" s="16"/>
      <c r="C241" s="16"/>
      <c r="D241" s="16"/>
      <c r="E241" s="16"/>
      <c r="F241" s="16"/>
      <c r="G241" s="26" t="str">
        <f>IF($M$240="✖ 回答不要","【回答不要】 ","")&amp;"リモートワークに関するセキュリティルールを定期的に見直している"</f>
        <v>リモートワークに関するセキュリティルールを定期的に見直している</v>
      </c>
      <c r="H241" s="14"/>
      <c r="I241" s="16"/>
      <c r="J241" s="16"/>
      <c r="K241" s="16"/>
      <c r="L241" s="15"/>
      <c r="M241" s="17" t="str">
        <f t="shared" si="17"/>
        <v>要回答</v>
      </c>
    </row>
    <row r="242" ht="54.0" customHeight="1" outlineLevel="1">
      <c r="A242" s="16"/>
      <c r="B242" s="16"/>
      <c r="C242" s="16"/>
      <c r="D242" s="16"/>
      <c r="E242" s="16"/>
      <c r="F242" s="16"/>
      <c r="G242" s="26" t="str">
        <f>IF($M$240="✖ 回答不要","【回答不要】 ","")&amp;"不特定多数の人がいる公共の場所でのリモートワークを禁止している"</f>
        <v>不特定多数の人がいる公共の場所でのリモートワークを禁止している</v>
      </c>
      <c r="H242" s="14"/>
      <c r="I242" s="16"/>
      <c r="J242" s="16"/>
      <c r="K242" s="16"/>
      <c r="L242" s="15"/>
      <c r="M242" s="17" t="str">
        <f t="shared" si="17"/>
        <v>要回答</v>
      </c>
    </row>
    <row r="243" ht="54.0" customHeight="1" outlineLevel="1">
      <c r="A243" s="16"/>
      <c r="B243" s="16"/>
      <c r="C243" s="16"/>
      <c r="D243" s="16"/>
      <c r="E243" s="16"/>
      <c r="F243" s="16"/>
      <c r="G243" s="26" t="str">
        <f>IF($M$240="✖ 回答不要","【回答不要】 ","")&amp;"他者（家族、友人等）からののぞき見等を防止する施策を実施している"</f>
        <v>他者（家族、友人等）からののぞき見等を防止する施策を実施している</v>
      </c>
      <c r="H243" s="14"/>
      <c r="I243" s="16"/>
      <c r="J243" s="16"/>
      <c r="K243" s="16"/>
      <c r="L243" s="15"/>
      <c r="M243" s="17" t="str">
        <f t="shared" si="17"/>
        <v>要回答</v>
      </c>
    </row>
    <row r="244" ht="54.0" customHeight="1" outlineLevel="1">
      <c r="A244" s="16"/>
      <c r="B244" s="16"/>
      <c r="C244" s="16"/>
      <c r="D244" s="16"/>
      <c r="E244" s="16"/>
      <c r="F244" s="16"/>
      <c r="G244" s="26" t="str">
        <f>IF($M$240="✖ 回答不要","【回答不要】 ","")&amp;"該当なし"</f>
        <v>該当なし</v>
      </c>
      <c r="H244" s="14"/>
      <c r="I244" s="16"/>
      <c r="J244" s="16"/>
      <c r="K244" s="16"/>
      <c r="L244" s="15"/>
      <c r="M244" s="17" t="str">
        <f t="shared" si="17"/>
        <v>要回答</v>
      </c>
    </row>
    <row r="245" ht="54.0" customHeight="1" outlineLevel="1">
      <c r="A245" s="16"/>
      <c r="B245" s="16"/>
      <c r="C245" s="16"/>
      <c r="D245" s="16"/>
      <c r="E245" s="16"/>
      <c r="F245" s="16"/>
      <c r="G245" s="26" t="str">
        <f>IF($M$240="✖ 回答不要","【回答不要】 ","")&amp;"非公開"</f>
        <v>非公開</v>
      </c>
      <c r="H245" s="14"/>
      <c r="I245" s="16"/>
      <c r="J245" s="16"/>
      <c r="K245" s="16"/>
      <c r="L245" s="15"/>
      <c r="M245" s="17" t="str">
        <f t="shared" si="17"/>
        <v>要回答</v>
      </c>
    </row>
    <row r="246" ht="54.0" customHeight="1">
      <c r="A246" s="5"/>
      <c r="B246" s="6"/>
      <c r="C246" s="6"/>
      <c r="D246" s="6"/>
      <c r="E246" s="6"/>
      <c r="F246" s="6"/>
      <c r="G246" s="6"/>
      <c r="H246" s="6"/>
      <c r="I246" s="6"/>
      <c r="J246" s="6"/>
      <c r="K246" s="6"/>
      <c r="L246" s="6"/>
      <c r="M246" s="7"/>
    </row>
    <row r="247" ht="54.0" customHeight="1" outlineLevel="1">
      <c r="A247" s="21">
        <v>34.0</v>
      </c>
      <c r="B247" s="22" t="str">
        <f>$M$247</f>
        <v>要回答</v>
      </c>
      <c r="C247" s="23" t="s">
        <v>30</v>
      </c>
      <c r="D247" s="23" t="s">
        <v>74</v>
      </c>
      <c r="E247" s="24" t="s">
        <v>75</v>
      </c>
      <c r="F247" s="25" t="str">
        <f>IF($M$247="✖ 回答不要","【この設問は回答不要です】"&amp;CHAR(10),"")&amp;"情報資産に対するアクセス制御の方針やルールについて、該当する選択肢をすべて選択してください。"</f>
        <v>情報資産に対するアクセス制御の方針やルールについて、該当する選択肢をすべて選択してください。</v>
      </c>
      <c r="G247" s="26" t="str">
        <f>IF($M$247="✖ 回答不要","【回答不要】 ","")&amp;"情報資産に対するアクセス制御の方針やルールが定められている"</f>
        <v>情報資産に対するアクセス制御の方針やルールが定められている</v>
      </c>
      <c r="H247" s="14"/>
      <c r="I247" s="16"/>
      <c r="J247" s="16"/>
      <c r="K247" s="16"/>
      <c r="L247" s="15"/>
      <c r="M247" s="17" t="str">
        <f t="shared" ref="M247:M261" si="18">IF(OR($H$38="○"),"✖ 回答不要","要回答")</f>
        <v>要回答</v>
      </c>
    </row>
    <row r="248" ht="54.0" customHeight="1" outlineLevel="1">
      <c r="A248" s="16"/>
      <c r="B248" s="16"/>
      <c r="C248" s="16"/>
      <c r="D248" s="16"/>
      <c r="E248" s="16"/>
      <c r="F248" s="16"/>
      <c r="G248" s="27" t="str">
        <f>IF($M$247="✖ 回答不要","【回答不要】 ","")&amp;"  └ 情報資産へのアクセス権限を必要最小限のユーザーのみに限定している"</f>
        <v>  └ 情報資産へのアクセス権限を必要最小限のユーザーのみに限定している</v>
      </c>
      <c r="H248" s="14"/>
      <c r="I248" s="16"/>
      <c r="J248" s="16"/>
      <c r="K248" s="16"/>
      <c r="L248" s="20"/>
      <c r="M248" s="17" t="str">
        <f t="shared" si="18"/>
        <v>要回答</v>
      </c>
    </row>
    <row r="249" ht="54.0" customHeight="1" outlineLevel="1">
      <c r="A249" s="16"/>
      <c r="B249" s="16"/>
      <c r="C249" s="16"/>
      <c r="D249" s="16"/>
      <c r="E249" s="16"/>
      <c r="F249" s="16"/>
      <c r="G249" s="27" t="str">
        <f>IF($M$247="✖ 回答不要","【回答不要】 ","")&amp;"  └ 取引元や業務毎にインフラ環境（アカウント、サーバ、データベース等）を分離している"</f>
        <v>  └ 取引元や業務毎にインフラ環境（アカウント、サーバ、データベース等）を分離している</v>
      </c>
      <c r="H249" s="14"/>
      <c r="I249" s="16"/>
      <c r="J249" s="16"/>
      <c r="K249" s="16"/>
      <c r="L249" s="20"/>
      <c r="M249" s="17" t="str">
        <f t="shared" si="18"/>
        <v>要回答</v>
      </c>
    </row>
    <row r="250" ht="54.0" customHeight="1" outlineLevel="1">
      <c r="A250" s="16"/>
      <c r="B250" s="16"/>
      <c r="C250" s="16"/>
      <c r="D250" s="16"/>
      <c r="E250" s="16"/>
      <c r="F250" s="16"/>
      <c r="G250" s="27" t="str">
        <f>IF($M$247="✖ 回答不要","【回答不要】 ","")&amp;"  └ その他"&amp;CHAR(10)&amp;"       [詳細*]"</f>
        <v>  └ その他
       [詳細*]</v>
      </c>
      <c r="H250" s="14"/>
      <c r="I250" s="15"/>
      <c r="J250" s="16"/>
      <c r="K250" s="16"/>
      <c r="L250" s="20"/>
      <c r="M250" s="17" t="str">
        <f t="shared" si="18"/>
        <v>要回答</v>
      </c>
    </row>
    <row r="251" ht="54.0" customHeight="1" outlineLevel="1">
      <c r="A251" s="16"/>
      <c r="B251" s="16"/>
      <c r="C251" s="16"/>
      <c r="D251" s="16"/>
      <c r="E251" s="16"/>
      <c r="F251" s="16"/>
      <c r="G251" s="26" t="str">
        <f>IF($M$247="✖ 回答不要","【回答不要】 ","")&amp;"情報資産に対するアクセス制御の方針やルールを定期的に見直している"</f>
        <v>情報資産に対するアクセス制御の方針やルールを定期的に見直している</v>
      </c>
      <c r="H251" s="14"/>
      <c r="I251" s="16"/>
      <c r="J251" s="16"/>
      <c r="K251" s="16"/>
      <c r="L251" s="15"/>
      <c r="M251" s="17" t="str">
        <f t="shared" si="18"/>
        <v>要回答</v>
      </c>
    </row>
    <row r="252" ht="54.0" customHeight="1" outlineLevel="1">
      <c r="A252" s="16"/>
      <c r="B252" s="16"/>
      <c r="C252" s="16"/>
      <c r="D252" s="16"/>
      <c r="E252" s="16"/>
      <c r="F252" s="16"/>
      <c r="G252" s="26" t="str">
        <f>IF($M$247="✖ 回答不要","【回答不要】 ","")&amp;"該当なし"</f>
        <v>該当なし</v>
      </c>
      <c r="H252" s="14"/>
      <c r="I252" s="16"/>
      <c r="J252" s="16"/>
      <c r="K252" s="16"/>
      <c r="L252" s="15"/>
      <c r="M252" s="17" t="str">
        <f t="shared" si="18"/>
        <v>要回答</v>
      </c>
    </row>
    <row r="253" ht="54.0" customHeight="1" outlineLevel="1">
      <c r="A253" s="16"/>
      <c r="B253" s="16"/>
      <c r="C253" s="16"/>
      <c r="D253" s="16"/>
      <c r="E253" s="16"/>
      <c r="F253" s="16"/>
      <c r="G253" s="26" t="str">
        <f>IF($M$247="✖ 回答不要","【回答不要】 ","")&amp;"非公開"</f>
        <v>非公開</v>
      </c>
      <c r="H253" s="14"/>
      <c r="I253" s="16"/>
      <c r="J253" s="16"/>
      <c r="K253" s="16"/>
      <c r="L253" s="15"/>
      <c r="M253" s="17" t="str">
        <f t="shared" si="18"/>
        <v>要回答</v>
      </c>
    </row>
    <row r="254" ht="54.0" customHeight="1" outlineLevel="1">
      <c r="A254" s="21">
        <v>35.0</v>
      </c>
      <c r="B254" s="22" t="str">
        <f>$M$254</f>
        <v>要回答</v>
      </c>
      <c r="C254" s="23" t="s">
        <v>30</v>
      </c>
      <c r="D254" s="23" t="s">
        <v>74</v>
      </c>
      <c r="E254" s="24" t="s">
        <v>76</v>
      </c>
      <c r="F254" s="25" t="str">
        <f>IF($M$254="✖ 回答不要","【この設問は回答不要です】"&amp;CHAR(10),"")&amp;"業務で利用するアプリケーションのユーザーアカウントについて業務上の必要性を確認していますか。"</f>
        <v>業務で利用するアプリケーションのユーザーアカウントについて業務上の必要性を確認していますか。</v>
      </c>
      <c r="G254" s="26" t="str">
        <f>IF($M$254="✖ 回答不要","【回答不要】 ","")&amp;"ユーザーアカウントを発行・付与する場合は、業務上の必要性を確認している"</f>
        <v>ユーザーアカウントを発行・付与する場合は、業務上の必要性を確認している</v>
      </c>
      <c r="H254" s="14"/>
      <c r="I254" s="16"/>
      <c r="J254" s="16"/>
      <c r="K254" s="16"/>
      <c r="L254" s="15"/>
      <c r="M254" s="17" t="str">
        <f t="shared" si="18"/>
        <v>要回答</v>
      </c>
    </row>
    <row r="255" ht="54.0" customHeight="1" outlineLevel="1">
      <c r="A255" s="16"/>
      <c r="B255" s="16"/>
      <c r="C255" s="16"/>
      <c r="D255" s="16"/>
      <c r="E255" s="16"/>
      <c r="F255" s="16"/>
      <c r="G255" s="26" t="str">
        <f>IF($M$254="✖ 回答不要","【回答不要】 ","")&amp;"アプリケーションの利用者が退職・異動となった場合、速やかにユーザーアカウントのアクセス権限の更新や削除を実施している"</f>
        <v>アプリケーションの利用者が退職・異動となった場合、速やかにユーザーアカウントのアクセス権限の更新や削除を実施している</v>
      </c>
      <c r="H255" s="14"/>
      <c r="I255" s="16"/>
      <c r="J255" s="16"/>
      <c r="K255" s="16"/>
      <c r="L255" s="15"/>
      <c r="M255" s="17" t="str">
        <f t="shared" si="18"/>
        <v>要回答</v>
      </c>
    </row>
    <row r="256" ht="54.0" customHeight="1" outlineLevel="1">
      <c r="A256" s="16"/>
      <c r="B256" s="16"/>
      <c r="C256" s="16"/>
      <c r="D256" s="16"/>
      <c r="E256" s="16"/>
      <c r="F256" s="16"/>
      <c r="G256" s="26" t="str">
        <f>IF($M$254="✖ 回答不要","【回答不要】 ","")&amp;"定期的にユーザーアカウントの棚卸を実施している"</f>
        <v>定期的にユーザーアカウントの棚卸を実施している</v>
      </c>
      <c r="H256" s="14"/>
      <c r="I256" s="16"/>
      <c r="J256" s="16"/>
      <c r="K256" s="16"/>
      <c r="L256" s="15"/>
      <c r="M256" s="17" t="str">
        <f t="shared" si="18"/>
        <v>要回答</v>
      </c>
    </row>
    <row r="257" ht="54.0" customHeight="1" outlineLevel="1">
      <c r="A257" s="16"/>
      <c r="B257" s="16"/>
      <c r="C257" s="16"/>
      <c r="D257" s="16"/>
      <c r="E257" s="16"/>
      <c r="F257" s="16"/>
      <c r="G257" s="26" t="str">
        <f>IF($M$254="✖ 回答不要","【回答不要】 ","")&amp;"該当なし"</f>
        <v>該当なし</v>
      </c>
      <c r="H257" s="14"/>
      <c r="I257" s="16"/>
      <c r="J257" s="16"/>
      <c r="K257" s="16"/>
      <c r="L257" s="15"/>
      <c r="M257" s="17" t="str">
        <f t="shared" si="18"/>
        <v>要回答</v>
      </c>
    </row>
    <row r="258" ht="54.0" customHeight="1" outlineLevel="1">
      <c r="A258" s="16"/>
      <c r="B258" s="16"/>
      <c r="C258" s="16"/>
      <c r="D258" s="16"/>
      <c r="E258" s="16"/>
      <c r="F258" s="16"/>
      <c r="G258" s="26" t="str">
        <f>IF($M$254="✖ 回答不要","【回答不要】 ","")&amp;"非公開"</f>
        <v>非公開</v>
      </c>
      <c r="H258" s="14"/>
      <c r="I258" s="16"/>
      <c r="J258" s="16"/>
      <c r="K258" s="16"/>
      <c r="L258" s="15"/>
      <c r="M258" s="17" t="str">
        <f t="shared" si="18"/>
        <v>要回答</v>
      </c>
    </row>
    <row r="259" ht="54.0" customHeight="1" outlineLevel="1">
      <c r="A259" s="21">
        <v>36.0</v>
      </c>
      <c r="B259" s="22" t="str">
        <f>$M$259</f>
        <v>要回答</v>
      </c>
      <c r="C259" s="23" t="s">
        <v>30</v>
      </c>
      <c r="D259" s="23" t="s">
        <v>74</v>
      </c>
      <c r="E259" s="24" t="s">
        <v>77</v>
      </c>
      <c r="F259" s="25" t="str">
        <f>IF($M$259="✖ 回答不要","【この設問は回答不要です】"&amp;CHAR(10),"")&amp;"業務で利用するアプリケーションのアカウントについて共用されているものがありますか。"</f>
        <v>業務で利用するアプリケーションのアカウントについて共用されているものがありますか。</v>
      </c>
      <c r="G259" s="26" t="str">
        <f>IF($M$259="✖ 回答不要","【回答不要】 ","")&amp;"共用アカウントが存在する"&amp;CHAR(10)&amp;"   └ [詳細*]"</f>
        <v>共用アカウントが存在する
   └ [詳細*]</v>
      </c>
      <c r="H259" s="14"/>
      <c r="I259" s="15"/>
      <c r="J259" s="16"/>
      <c r="K259" s="16"/>
      <c r="L259" s="15"/>
      <c r="M259" s="17" t="str">
        <f t="shared" si="18"/>
        <v>要回答</v>
      </c>
    </row>
    <row r="260" ht="54.0" customHeight="1" outlineLevel="1">
      <c r="A260" s="16"/>
      <c r="B260" s="16"/>
      <c r="C260" s="16"/>
      <c r="D260" s="16"/>
      <c r="E260" s="16"/>
      <c r="F260" s="16"/>
      <c r="G260" s="26" t="str">
        <f>IF($M$259="✖ 回答不要","【回答不要】 ","")&amp;"個別ユーザー毎にアカウントが設定されている"</f>
        <v>個別ユーザー毎にアカウントが設定されている</v>
      </c>
      <c r="H260" s="14"/>
      <c r="I260" s="16"/>
      <c r="J260" s="16"/>
      <c r="K260" s="16"/>
      <c r="L260" s="15"/>
      <c r="M260" s="17" t="str">
        <f t="shared" si="18"/>
        <v>要回答</v>
      </c>
    </row>
    <row r="261" ht="54.0" customHeight="1" outlineLevel="1">
      <c r="A261" s="16"/>
      <c r="B261" s="16"/>
      <c r="C261" s="16"/>
      <c r="D261" s="16"/>
      <c r="E261" s="16"/>
      <c r="F261" s="16"/>
      <c r="G261" s="26" t="str">
        <f>IF($M$259="✖ 回答不要","【回答不要】 ","")&amp;"非公開"</f>
        <v>非公開</v>
      </c>
      <c r="H261" s="14"/>
      <c r="I261" s="16"/>
      <c r="J261" s="16"/>
      <c r="K261" s="16"/>
      <c r="L261" s="15"/>
      <c r="M261" s="17" t="str">
        <f t="shared" si="18"/>
        <v>要回答</v>
      </c>
    </row>
    <row r="262" ht="54.0" customHeight="1" outlineLevel="1">
      <c r="A262" s="21">
        <v>37.0</v>
      </c>
      <c r="B262" s="22" t="str">
        <f>$M$262</f>
        <v>要回答</v>
      </c>
      <c r="C262" s="23" t="s">
        <v>30</v>
      </c>
      <c r="D262" s="23" t="s">
        <v>74</v>
      </c>
      <c r="E262" s="24" t="s">
        <v>78</v>
      </c>
      <c r="F262" s="25" t="str">
        <f>IF($M$262="✖ 回答不要","【この設問は回答不要です】"&amp;CHAR(10),"")&amp;"業務で利用するアプリケーションの共有アカウントについて実施している対策をすべて選択してください。"</f>
        <v>業務で利用するアプリケーションの共有アカウントについて実施している対策をすべて選択してください。</v>
      </c>
      <c r="G262" s="26" t="str">
        <f>IF($M$262="✖ 回答不要","【回答不要】 ","")&amp;"共用するアカウントと利用可能なユーザーを特定している"&amp;CHAR(10)&amp;"   └ [詳細*]"</f>
        <v>共用するアカウントと利用可能なユーザーを特定している
   └ [詳細*]</v>
      </c>
      <c r="H262" s="14"/>
      <c r="I262" s="15"/>
      <c r="J262" s="16"/>
      <c r="K262" s="16"/>
      <c r="L262" s="15"/>
      <c r="M262" s="17" t="str">
        <f t="shared" ref="M262:M268" si="19">IF(OR(OR($H$38="○"),OR($H$260="○")),"✖ 回答不要","要回答")</f>
        <v>要回答</v>
      </c>
    </row>
    <row r="263" ht="54.0" customHeight="1" outlineLevel="1">
      <c r="A263" s="16"/>
      <c r="B263" s="16"/>
      <c r="C263" s="16"/>
      <c r="D263" s="16"/>
      <c r="E263" s="16"/>
      <c r="F263" s="16"/>
      <c r="G263" s="26" t="str">
        <f>IF($M$262="✖ 回答不要","【回答不要】 ","")&amp;"事前に承認を得た場合のみ利用可能としている"</f>
        <v>事前に承認を得た場合のみ利用可能としている</v>
      </c>
      <c r="H263" s="14"/>
      <c r="I263" s="16"/>
      <c r="J263" s="16"/>
      <c r="K263" s="16"/>
      <c r="L263" s="15"/>
      <c r="M263" s="17" t="str">
        <f t="shared" si="19"/>
        <v>要回答</v>
      </c>
    </row>
    <row r="264" ht="54.0" customHeight="1" outlineLevel="1">
      <c r="A264" s="16"/>
      <c r="B264" s="16"/>
      <c r="C264" s="16"/>
      <c r="D264" s="16"/>
      <c r="E264" s="16"/>
      <c r="F264" s="16"/>
      <c r="G264" s="26" t="str">
        <f>IF($M$262="✖ 回答不要","【回答不要】 ","")&amp;"利用毎に認証情報を変更している"</f>
        <v>利用毎に認証情報を変更している</v>
      </c>
      <c r="H264" s="14"/>
      <c r="I264" s="16"/>
      <c r="J264" s="16"/>
      <c r="K264" s="16"/>
      <c r="L264" s="15"/>
      <c r="M264" s="17" t="str">
        <f t="shared" si="19"/>
        <v>要回答</v>
      </c>
    </row>
    <row r="265" ht="54.0" customHeight="1" outlineLevel="1">
      <c r="A265" s="16"/>
      <c r="B265" s="16"/>
      <c r="C265" s="16"/>
      <c r="D265" s="16"/>
      <c r="E265" s="16"/>
      <c r="F265" s="16"/>
      <c r="G265" s="26" t="str">
        <f>IF($M$262="✖ 回答不要","【回答不要】 ","")&amp;"管理簿や利用ログ等で適切な利用か確認している"</f>
        <v>管理簿や利用ログ等で適切な利用か確認している</v>
      </c>
      <c r="H265" s="14"/>
      <c r="I265" s="16"/>
      <c r="J265" s="16"/>
      <c r="K265" s="16"/>
      <c r="L265" s="15"/>
      <c r="M265" s="17" t="str">
        <f t="shared" si="19"/>
        <v>要回答</v>
      </c>
    </row>
    <row r="266" ht="54.0" customHeight="1" outlineLevel="1">
      <c r="A266" s="16"/>
      <c r="B266" s="16"/>
      <c r="C266" s="16"/>
      <c r="D266" s="16"/>
      <c r="E266" s="16"/>
      <c r="F266" s="16"/>
      <c r="G266" s="26" t="str">
        <f>IF($M$262="✖ 回答不要","【回答不要】 ","")&amp;"その他"&amp;CHAR(10)&amp;"   └ [詳細*]"</f>
        <v>その他
   └ [詳細*]</v>
      </c>
      <c r="H266" s="14"/>
      <c r="I266" s="15"/>
      <c r="J266" s="16"/>
      <c r="K266" s="16"/>
      <c r="L266" s="15"/>
      <c r="M266" s="17" t="str">
        <f t="shared" si="19"/>
        <v>要回答</v>
      </c>
    </row>
    <row r="267" ht="54.0" customHeight="1" outlineLevel="1">
      <c r="A267" s="16"/>
      <c r="B267" s="16"/>
      <c r="C267" s="16"/>
      <c r="D267" s="16"/>
      <c r="E267" s="16"/>
      <c r="F267" s="16"/>
      <c r="G267" s="26" t="str">
        <f>IF($M$262="✖ 回答不要","【回答不要】 ","")&amp;"該当なし"</f>
        <v>該当なし</v>
      </c>
      <c r="H267" s="14"/>
      <c r="I267" s="16"/>
      <c r="J267" s="16"/>
      <c r="K267" s="16"/>
      <c r="L267" s="15"/>
      <c r="M267" s="17" t="str">
        <f t="shared" si="19"/>
        <v>要回答</v>
      </c>
    </row>
    <row r="268" ht="54.0" customHeight="1" outlineLevel="1">
      <c r="A268" s="16"/>
      <c r="B268" s="16"/>
      <c r="C268" s="16"/>
      <c r="D268" s="16"/>
      <c r="E268" s="16"/>
      <c r="F268" s="16"/>
      <c r="G268" s="26" t="str">
        <f>IF($M$262="✖ 回答不要","【回答不要】 ","")&amp;"非公開"</f>
        <v>非公開</v>
      </c>
      <c r="H268" s="14"/>
      <c r="I268" s="16"/>
      <c r="J268" s="16"/>
      <c r="K268" s="16"/>
      <c r="L268" s="15"/>
      <c r="M268" s="17" t="str">
        <f t="shared" si="19"/>
        <v>要回答</v>
      </c>
    </row>
    <row r="269" ht="54.0" customHeight="1" outlineLevel="1">
      <c r="A269" s="21">
        <v>38.0</v>
      </c>
      <c r="B269" s="22" t="str">
        <f>$M$269</f>
        <v>要回答</v>
      </c>
      <c r="C269" s="23" t="s">
        <v>30</v>
      </c>
      <c r="D269" s="23" t="s">
        <v>74</v>
      </c>
      <c r="E269" s="24" t="s">
        <v>79</v>
      </c>
      <c r="F269" s="25" t="str">
        <f>IF($M$269="✖ 回答不要","【この設問は回答不要です】"&amp;CHAR(10),"")&amp;"業務で利用するアプリケーションのユーザーアカウントのアクセス制御について、SSOログイン認証を含めて、認証として該当するものをすべて選択してください。"</f>
        <v>業務で利用するアプリケーションのユーザーアカウントのアクセス制御について、SSOログイン認証を含めて、認証として該当するものをすべて選択してください。</v>
      </c>
      <c r="G269" s="26" t="str">
        <f>IF($M$269="✖ 回答不要","【回答不要】 ","")&amp;"パスワードのみによるユーザー認証"</f>
        <v>パスワードのみによるユーザー認証</v>
      </c>
      <c r="H269" s="14"/>
      <c r="I269" s="16"/>
      <c r="J269" s="16"/>
      <c r="K269" s="16"/>
      <c r="L269" s="15"/>
      <c r="M269" s="17" t="str">
        <f t="shared" ref="M269:M328" si="20">IF(OR($H$38="○"),"✖ 回答不要","要回答")</f>
        <v>要回答</v>
      </c>
    </row>
    <row r="270" ht="54.0" customHeight="1" outlineLevel="1">
      <c r="A270" s="16"/>
      <c r="B270" s="16"/>
      <c r="C270" s="16"/>
      <c r="D270" s="16"/>
      <c r="E270" s="16"/>
      <c r="F270" s="16"/>
      <c r="G270" s="27" t="str">
        <f>IF($M$269="✖ 回答不要","【回答不要】 ","")&amp;"  └ パスワードの最小文字数を設定している"&amp;CHAR(10)&amp;"       [最小の文字数*]"</f>
        <v>  └ パスワードの最小文字数を設定している
       [最小の文字数*]</v>
      </c>
      <c r="H270" s="14"/>
      <c r="I270" s="15"/>
      <c r="J270" s="16"/>
      <c r="K270" s="16"/>
      <c r="L270" s="20"/>
      <c r="M270" s="17" t="str">
        <f t="shared" si="20"/>
        <v>要回答</v>
      </c>
    </row>
    <row r="271" ht="54.0" customHeight="1" outlineLevel="1">
      <c r="A271" s="16"/>
      <c r="B271" s="16"/>
      <c r="C271" s="16"/>
      <c r="D271" s="16"/>
      <c r="E271" s="16"/>
      <c r="F271" s="16"/>
      <c r="G271" s="27" t="str">
        <f>IF($M$269="✖ 回答不要","【回答不要】 ","")&amp;"  └ パスワードに英数字だけでなく記号も使用可能である"</f>
        <v>  └ パスワードに英数字だけでなく記号も使用可能である</v>
      </c>
      <c r="H271" s="14"/>
      <c r="I271" s="16"/>
      <c r="J271" s="16"/>
      <c r="K271" s="16"/>
      <c r="L271" s="20"/>
      <c r="M271" s="17" t="str">
        <f t="shared" si="20"/>
        <v>要回答</v>
      </c>
    </row>
    <row r="272" ht="54.0" customHeight="1" outlineLevel="1">
      <c r="A272" s="16"/>
      <c r="B272" s="16"/>
      <c r="C272" s="16"/>
      <c r="D272" s="16"/>
      <c r="E272" s="16"/>
      <c r="F272" s="16"/>
      <c r="G272" s="27" t="str">
        <f>IF($M$269="✖ 回答不要","【回答不要】 ","")&amp;"  └ 脆弱なパスワードを制御する機能がある"&amp;CHAR(10)&amp;"       [詳細*]"</f>
        <v>  └ 脆弱なパスワードを制御する機能がある
       [詳細*]</v>
      </c>
      <c r="H272" s="14"/>
      <c r="I272" s="15"/>
      <c r="J272" s="16"/>
      <c r="K272" s="16"/>
      <c r="L272" s="20"/>
      <c r="M272" s="17" t="str">
        <f t="shared" si="20"/>
        <v>要回答</v>
      </c>
    </row>
    <row r="273" ht="54.0" customHeight="1" outlineLevel="1">
      <c r="A273" s="16"/>
      <c r="B273" s="16"/>
      <c r="C273" s="16"/>
      <c r="D273" s="16"/>
      <c r="E273" s="16"/>
      <c r="F273" s="16"/>
      <c r="G273" s="27" t="str">
        <f>IF($M$269="✖ 回答不要","【回答不要】 ","")&amp;"  └ パスワードは利用者自身が登録する"</f>
        <v>  └ パスワードは利用者自身が登録する</v>
      </c>
      <c r="H273" s="14"/>
      <c r="I273" s="16"/>
      <c r="J273" s="16"/>
      <c r="K273" s="16"/>
      <c r="L273" s="20"/>
      <c r="M273" s="17" t="str">
        <f t="shared" si="20"/>
        <v>要回答</v>
      </c>
    </row>
    <row r="274" ht="54.0" customHeight="1" outlineLevel="1">
      <c r="A274" s="16"/>
      <c r="B274" s="16"/>
      <c r="C274" s="16"/>
      <c r="D274" s="16"/>
      <c r="E274" s="16"/>
      <c r="F274" s="16"/>
      <c r="G274" s="27" t="str">
        <f>IF($M$269="✖ 回答不要","【回答不要】 ","")&amp;"  └ パスワードはソルト付きハッシュで保管される"</f>
        <v>  └ パスワードはソルト付きハッシュで保管される</v>
      </c>
      <c r="H274" s="14"/>
      <c r="I274" s="16"/>
      <c r="J274" s="16"/>
      <c r="K274" s="16"/>
      <c r="L274" s="20"/>
      <c r="M274" s="17" t="str">
        <f t="shared" si="20"/>
        <v>要回答</v>
      </c>
    </row>
    <row r="275" ht="54.0" customHeight="1" outlineLevel="1">
      <c r="A275" s="16"/>
      <c r="B275" s="16"/>
      <c r="C275" s="16"/>
      <c r="D275" s="16"/>
      <c r="E275" s="16"/>
      <c r="F275" s="16"/>
      <c r="G275" s="26" t="str">
        <f>IF($M$269="✖ 回答不要","【回答不要】 ","")&amp;"パスワード以外の単一要素による認証（パスワードレス認証）"</f>
        <v>パスワード以外の単一要素による認証（パスワードレス認証）</v>
      </c>
      <c r="H275" s="14"/>
      <c r="I275" s="16"/>
      <c r="J275" s="16"/>
      <c r="K275" s="16"/>
      <c r="L275" s="15"/>
      <c r="M275" s="17" t="str">
        <f t="shared" si="20"/>
        <v>要回答</v>
      </c>
    </row>
    <row r="276" ht="54.0" customHeight="1" outlineLevel="1">
      <c r="A276" s="16"/>
      <c r="B276" s="16"/>
      <c r="C276" s="16"/>
      <c r="D276" s="16"/>
      <c r="E276" s="16"/>
      <c r="F276" s="16"/>
      <c r="G276" s="27" t="str">
        <f>IF($M$269="✖ 回答不要","【回答不要】 ","")&amp;"  └ ユーザー個別の証明書"</f>
        <v>  └ ユーザー個別の証明書</v>
      </c>
      <c r="H276" s="14"/>
      <c r="I276" s="16"/>
      <c r="J276" s="16"/>
      <c r="K276" s="16"/>
      <c r="L276" s="20"/>
      <c r="M276" s="17" t="str">
        <f t="shared" si="20"/>
        <v>要回答</v>
      </c>
    </row>
    <row r="277" ht="54.0" customHeight="1" outlineLevel="1">
      <c r="A277" s="16"/>
      <c r="B277" s="16"/>
      <c r="C277" s="16"/>
      <c r="D277" s="16"/>
      <c r="E277" s="16"/>
      <c r="F277" s="16"/>
      <c r="G277" s="27" t="str">
        <f>IF($M$269="✖ 回答不要","【回答不要】 ","")&amp;"  └ ワンタイムパスワード認証"&amp;CHAR(10)&amp;"       [OTPの手段*]"</f>
        <v>  └ ワンタイムパスワード認証
       [OTPの手段*]</v>
      </c>
      <c r="H277" s="14"/>
      <c r="I277" s="15"/>
      <c r="J277" s="16"/>
      <c r="K277" s="16"/>
      <c r="L277" s="20"/>
      <c r="M277" s="17" t="str">
        <f t="shared" si="20"/>
        <v>要回答</v>
      </c>
    </row>
    <row r="278" ht="54.0" customHeight="1" outlineLevel="1">
      <c r="A278" s="16"/>
      <c r="B278" s="16"/>
      <c r="C278" s="16"/>
      <c r="D278" s="16"/>
      <c r="E278" s="16"/>
      <c r="F278" s="16"/>
      <c r="G278" s="26" t="str">
        <f>IF($M$269="✖ 回答不要","【回答不要】 ","")&amp;"多要素による認証"</f>
        <v>多要素による認証</v>
      </c>
      <c r="H278" s="14"/>
      <c r="I278" s="16"/>
      <c r="J278" s="16"/>
      <c r="K278" s="16"/>
      <c r="L278" s="15"/>
      <c r="M278" s="17" t="str">
        <f t="shared" si="20"/>
        <v>要回答</v>
      </c>
    </row>
    <row r="279" ht="54.0" customHeight="1" outlineLevel="1">
      <c r="A279" s="16"/>
      <c r="B279" s="16"/>
      <c r="C279" s="16"/>
      <c r="D279" s="16"/>
      <c r="E279" s="16"/>
      <c r="F279" s="16"/>
      <c r="G279" s="27" t="str">
        <f>IF($M$269="✖ 回答不要","【回答不要】 ","")&amp;"  └ パスワード＋ワンタイムパスワード"&amp;CHAR(10)&amp;"       [パスワード長、OTPの手段*]"</f>
        <v>  └ パスワード＋ワンタイムパスワード
       [パスワード長、OTPの手段*]</v>
      </c>
      <c r="H279" s="14"/>
      <c r="I279" s="15"/>
      <c r="J279" s="16"/>
      <c r="K279" s="16"/>
      <c r="L279" s="20"/>
      <c r="M279" s="17" t="str">
        <f t="shared" si="20"/>
        <v>要回答</v>
      </c>
    </row>
    <row r="280" ht="54.0" customHeight="1" outlineLevel="1">
      <c r="A280" s="16"/>
      <c r="B280" s="16"/>
      <c r="C280" s="16"/>
      <c r="D280" s="16"/>
      <c r="E280" s="16"/>
      <c r="F280" s="16"/>
      <c r="G280" s="27" t="str">
        <f>IF($M$269="✖ 回答不要","【回答不要】 ","")&amp;"  └ パスワード＋ユーザー個別の証明書"&amp;CHAR(10)&amp;"       [パスワード長*]"</f>
        <v>  └ パスワード＋ユーザー個別の証明書
       [パスワード長*]</v>
      </c>
      <c r="H280" s="14"/>
      <c r="I280" s="15"/>
      <c r="J280" s="16"/>
      <c r="K280" s="16"/>
      <c r="L280" s="20"/>
      <c r="M280" s="17" t="str">
        <f t="shared" si="20"/>
        <v>要回答</v>
      </c>
    </row>
    <row r="281" ht="54.0" customHeight="1" outlineLevel="1">
      <c r="A281" s="16"/>
      <c r="B281" s="16"/>
      <c r="C281" s="16"/>
      <c r="D281" s="16"/>
      <c r="E281" s="16"/>
      <c r="F281" s="16"/>
      <c r="G281" s="27" t="str">
        <f>IF($M$269="✖ 回答不要","【回答不要】 ","")&amp;"  └ パスワード＋セキュリティキー"&amp;CHAR(10)&amp;"       [パスワード長*]"</f>
        <v>  └ パスワード＋セキュリティキー
       [パスワード長*]</v>
      </c>
      <c r="H281" s="14"/>
      <c r="I281" s="15"/>
      <c r="J281" s="16"/>
      <c r="K281" s="16"/>
      <c r="L281" s="20"/>
      <c r="M281" s="17" t="str">
        <f t="shared" si="20"/>
        <v>要回答</v>
      </c>
    </row>
    <row r="282" ht="54.0" customHeight="1" outlineLevel="1">
      <c r="A282" s="16"/>
      <c r="B282" s="16"/>
      <c r="C282" s="16"/>
      <c r="D282" s="16"/>
      <c r="E282" s="16"/>
      <c r="F282" s="16"/>
      <c r="G282" s="27" t="str">
        <f>IF($M$269="✖ 回答不要","【回答不要】 ","")&amp;"  └ パスキー認証（多要素パスワードレス認証）"</f>
        <v>  └ パスキー認証（多要素パスワードレス認証）</v>
      </c>
      <c r="H282" s="14"/>
      <c r="I282" s="16"/>
      <c r="J282" s="16"/>
      <c r="K282" s="16"/>
      <c r="L282" s="20"/>
      <c r="M282" s="17" t="str">
        <f t="shared" si="20"/>
        <v>要回答</v>
      </c>
    </row>
    <row r="283" ht="54.0" customHeight="1" outlineLevel="1">
      <c r="A283" s="16"/>
      <c r="B283" s="16"/>
      <c r="C283" s="16"/>
      <c r="D283" s="16"/>
      <c r="E283" s="16"/>
      <c r="F283" s="16"/>
      <c r="G283" s="27" t="str">
        <f>IF($M$269="✖ 回答不要","【回答不要】 ","")&amp;"  └ その他の多要素認証"&amp;CHAR(10)&amp;"       [認証の手段や要素（例：パスワードと虹彩を用いた生体認証）*]"</f>
        <v>  └ その他の多要素認証
       [認証の手段や要素（例：パスワードと虹彩を用いた生体認証）*]</v>
      </c>
      <c r="H283" s="14"/>
      <c r="I283" s="15"/>
      <c r="J283" s="16"/>
      <c r="K283" s="16"/>
      <c r="L283" s="20"/>
      <c r="M283" s="17" t="str">
        <f t="shared" si="20"/>
        <v>要回答</v>
      </c>
    </row>
    <row r="284" ht="54.0" customHeight="1" outlineLevel="1">
      <c r="A284" s="16"/>
      <c r="B284" s="16"/>
      <c r="C284" s="16"/>
      <c r="D284" s="16"/>
      <c r="E284" s="16"/>
      <c r="F284" s="16"/>
      <c r="G284" s="26" t="str">
        <f>IF($M$269="✖ 回答不要","【回答不要】 ","")&amp;"その他のユーザー認証方式"&amp;CHAR(10)&amp;"   └ [認証方式*]"</f>
        <v>その他のユーザー認証方式
   └ [認証方式*]</v>
      </c>
      <c r="H284" s="14"/>
      <c r="I284" s="15"/>
      <c r="J284" s="16"/>
      <c r="K284" s="16"/>
      <c r="L284" s="15"/>
      <c r="M284" s="17" t="str">
        <f t="shared" si="20"/>
        <v>要回答</v>
      </c>
    </row>
    <row r="285" ht="54.0" customHeight="1" outlineLevel="1">
      <c r="A285" s="16"/>
      <c r="B285" s="16"/>
      <c r="C285" s="16"/>
      <c r="D285" s="16"/>
      <c r="E285" s="16"/>
      <c r="F285" s="16"/>
      <c r="G285" s="26" t="str">
        <f>IF($M$269="✖ 回答不要","【回答不要】 ","")&amp;"リスクベース認証"&amp;CHAR(10)&amp;"   └ [リスクベース認証として実施していること*]"</f>
        <v>リスクベース認証
   └ [リスクベース認証として実施していること*]</v>
      </c>
      <c r="H285" s="14"/>
      <c r="I285" s="15"/>
      <c r="J285" s="16"/>
      <c r="K285" s="16"/>
      <c r="L285" s="15"/>
      <c r="M285" s="17" t="str">
        <f t="shared" si="20"/>
        <v>要回答</v>
      </c>
    </row>
    <row r="286" ht="54.0" customHeight="1" outlineLevel="1">
      <c r="A286" s="16"/>
      <c r="B286" s="16"/>
      <c r="C286" s="16"/>
      <c r="D286" s="16"/>
      <c r="E286" s="16"/>
      <c r="F286" s="16"/>
      <c r="G286" s="26" t="str">
        <f>IF($M$269="✖ 回答不要","【回答不要】 ","")&amp;"IPアドレスによるアクセス制限"</f>
        <v>IPアドレスによるアクセス制限</v>
      </c>
      <c r="H286" s="14"/>
      <c r="I286" s="16"/>
      <c r="J286" s="16"/>
      <c r="K286" s="16"/>
      <c r="L286" s="15"/>
      <c r="M286" s="17" t="str">
        <f t="shared" si="20"/>
        <v>要回答</v>
      </c>
    </row>
    <row r="287" ht="54.0" customHeight="1" outlineLevel="1">
      <c r="A287" s="16"/>
      <c r="B287" s="16"/>
      <c r="C287" s="16"/>
      <c r="D287" s="16"/>
      <c r="E287" s="16"/>
      <c r="F287" s="16"/>
      <c r="G287" s="26" t="str">
        <f>IF($M$269="✖ 回答不要","【回答不要】 ","")&amp;"複数回認証に失敗した場合のアカウントロックや認証機能の一時停止"</f>
        <v>複数回認証に失敗した場合のアカウントロックや認証機能の一時停止</v>
      </c>
      <c r="H287" s="14"/>
      <c r="I287" s="16"/>
      <c r="J287" s="16"/>
      <c r="K287" s="16"/>
      <c r="L287" s="15"/>
      <c r="M287" s="17" t="str">
        <f t="shared" si="20"/>
        <v>要回答</v>
      </c>
    </row>
    <row r="288" ht="54.0" customHeight="1" outlineLevel="1">
      <c r="A288" s="16"/>
      <c r="B288" s="16"/>
      <c r="C288" s="16"/>
      <c r="D288" s="16"/>
      <c r="E288" s="16"/>
      <c r="F288" s="16"/>
      <c r="G288" s="26" t="str">
        <f>IF($M$269="✖ 回答不要","【回答不要】 ","")&amp;"認証情報の再発行時は本人しか知りえない情報で本人確認している"</f>
        <v>認証情報の再発行時は本人しか知りえない情報で本人確認している</v>
      </c>
      <c r="H288" s="14"/>
      <c r="I288" s="16"/>
      <c r="J288" s="16"/>
      <c r="K288" s="16"/>
      <c r="L288" s="15"/>
      <c r="M288" s="17" t="str">
        <f t="shared" si="20"/>
        <v>要回答</v>
      </c>
    </row>
    <row r="289" ht="54.0" customHeight="1" outlineLevel="1">
      <c r="A289" s="16"/>
      <c r="B289" s="16"/>
      <c r="C289" s="16"/>
      <c r="D289" s="16"/>
      <c r="E289" s="16"/>
      <c r="F289" s="16"/>
      <c r="G289" s="26" t="str">
        <f>IF($M$269="✖ 回答不要","【回答不要】 ","")&amp;"管理者権限アカウントについて一般アカウントと異なる認証ポリシーを設定できる"</f>
        <v>管理者権限アカウントについて一般アカウントと異なる認証ポリシーを設定できる</v>
      </c>
      <c r="H289" s="14"/>
      <c r="I289" s="16"/>
      <c r="J289" s="16"/>
      <c r="K289" s="16"/>
      <c r="L289" s="15"/>
      <c r="M289" s="17" t="str">
        <f t="shared" si="20"/>
        <v>要回答</v>
      </c>
    </row>
    <row r="290" ht="54.0" customHeight="1" outlineLevel="1">
      <c r="A290" s="16"/>
      <c r="B290" s="16"/>
      <c r="C290" s="16"/>
      <c r="D290" s="16"/>
      <c r="E290" s="16"/>
      <c r="F290" s="16"/>
      <c r="G290" s="26" t="str">
        <f>IF($M$269="✖ 回答不要","【回答不要】 ","")&amp;"該当なし"</f>
        <v>該当なし</v>
      </c>
      <c r="H290" s="14"/>
      <c r="I290" s="16"/>
      <c r="J290" s="16"/>
      <c r="K290" s="16"/>
      <c r="L290" s="15"/>
      <c r="M290" s="17" t="str">
        <f t="shared" si="20"/>
        <v>要回答</v>
      </c>
    </row>
    <row r="291" ht="54.0" customHeight="1" outlineLevel="1">
      <c r="A291" s="16"/>
      <c r="B291" s="16"/>
      <c r="C291" s="16"/>
      <c r="D291" s="16"/>
      <c r="E291" s="16"/>
      <c r="F291" s="16"/>
      <c r="G291" s="26" t="str">
        <f>IF($M$269="✖ 回答不要","【回答不要】 ","")&amp;"非公開"</f>
        <v>非公開</v>
      </c>
      <c r="H291" s="14"/>
      <c r="I291" s="16"/>
      <c r="J291" s="16"/>
      <c r="K291" s="16"/>
      <c r="L291" s="15"/>
      <c r="M291" s="17" t="str">
        <f t="shared" si="20"/>
        <v>要回答</v>
      </c>
    </row>
    <row r="292" ht="54.0" customHeight="1" outlineLevel="1">
      <c r="A292" s="21">
        <v>39.0</v>
      </c>
      <c r="B292" s="22" t="str">
        <f>$M$292</f>
        <v>要回答</v>
      </c>
      <c r="C292" s="23" t="s">
        <v>30</v>
      </c>
      <c r="D292" s="23" t="s">
        <v>74</v>
      </c>
      <c r="E292" s="24" t="s">
        <v>80</v>
      </c>
      <c r="F292" s="25" t="str">
        <f>IF($M$292="✖ 回答不要","【この設問は回答不要です】"&amp;CHAR(10),"")&amp;"システムの保守、運用において利用するアカウントについて、SSOログイン認証を含めて、認証として該当するものを選択してください。"</f>
        <v>システムの保守、運用において利用するアカウントについて、SSOログイン認証を含めて、認証として該当するものを選択してください。</v>
      </c>
      <c r="G292" s="26" t="str">
        <f>IF($M$292="✖ 回答不要","【回答不要】 ","")&amp;"緊急用アカウントなどの例外を除き、適用可能なすべてのユーザーアカウントに対して多要素認証が適用されている"</f>
        <v>緊急用アカウントなどの例外を除き、適用可能なすべてのユーザーアカウントに対して多要素認証が適用されている</v>
      </c>
      <c r="H292" s="14"/>
      <c r="I292" s="16"/>
      <c r="J292" s="16"/>
      <c r="K292" s="16"/>
      <c r="L292" s="15"/>
      <c r="M292" s="17" t="str">
        <f t="shared" si="20"/>
        <v>要回答</v>
      </c>
    </row>
    <row r="293" ht="54.0" customHeight="1" outlineLevel="1">
      <c r="A293" s="16"/>
      <c r="B293" s="16"/>
      <c r="C293" s="16"/>
      <c r="D293" s="16"/>
      <c r="E293" s="16"/>
      <c r="F293" s="16"/>
      <c r="G293" s="27" t="str">
        <f>IF($M$292="✖ 回答不要","【回答不要】 ","")&amp;"  └ パスワード＋ワンタイムパスワード"&amp;CHAR(10)&amp;"       [パスワード長、OTPの手段*]"</f>
        <v>  └ パスワード＋ワンタイムパスワード
       [パスワード長、OTPの手段*]</v>
      </c>
      <c r="H293" s="14"/>
      <c r="I293" s="15"/>
      <c r="J293" s="16"/>
      <c r="K293" s="16"/>
      <c r="L293" s="20"/>
      <c r="M293" s="17" t="str">
        <f t="shared" si="20"/>
        <v>要回答</v>
      </c>
    </row>
    <row r="294" ht="54.0" customHeight="1" outlineLevel="1">
      <c r="A294" s="16"/>
      <c r="B294" s="16"/>
      <c r="C294" s="16"/>
      <c r="D294" s="16"/>
      <c r="E294" s="16"/>
      <c r="F294" s="16"/>
      <c r="G294" s="27" t="str">
        <f>IF($M$292="✖ 回答不要","【回答不要】 ","")&amp;"  └ パスワード＋ユーザー個別の証明書"&amp;CHAR(10)&amp;"       [パスワード長*]"</f>
        <v>  └ パスワード＋ユーザー個別の証明書
       [パスワード長*]</v>
      </c>
      <c r="H294" s="14"/>
      <c r="I294" s="15"/>
      <c r="J294" s="16"/>
      <c r="K294" s="16"/>
      <c r="L294" s="20"/>
      <c r="M294" s="17" t="str">
        <f t="shared" si="20"/>
        <v>要回答</v>
      </c>
    </row>
    <row r="295" ht="54.0" customHeight="1" outlineLevel="1">
      <c r="A295" s="16"/>
      <c r="B295" s="16"/>
      <c r="C295" s="16"/>
      <c r="D295" s="16"/>
      <c r="E295" s="16"/>
      <c r="F295" s="16"/>
      <c r="G295" s="27" t="str">
        <f>IF($M$292="✖ 回答不要","【回答不要】 ","")&amp;"  └ パスワード＋セキュリティキー"&amp;CHAR(10)&amp;"       [パスワード長*]"</f>
        <v>  └ パスワード＋セキュリティキー
       [パスワード長*]</v>
      </c>
      <c r="H295" s="14"/>
      <c r="I295" s="15"/>
      <c r="J295" s="16"/>
      <c r="K295" s="16"/>
      <c r="L295" s="20"/>
      <c r="M295" s="17" t="str">
        <f t="shared" si="20"/>
        <v>要回答</v>
      </c>
    </row>
    <row r="296" ht="54.0" customHeight="1" outlineLevel="1">
      <c r="A296" s="16"/>
      <c r="B296" s="16"/>
      <c r="C296" s="16"/>
      <c r="D296" s="16"/>
      <c r="E296" s="16"/>
      <c r="F296" s="16"/>
      <c r="G296" s="27" t="str">
        <f>IF($M$292="✖ 回答不要","【回答不要】 ","")&amp;"  └ パスキー認証（多要素パスワードレス認証）"</f>
        <v>  └ パスキー認証（多要素パスワードレス認証）</v>
      </c>
      <c r="H296" s="14"/>
      <c r="I296" s="16"/>
      <c r="J296" s="16"/>
      <c r="K296" s="16"/>
      <c r="L296" s="20"/>
      <c r="M296" s="17" t="str">
        <f t="shared" si="20"/>
        <v>要回答</v>
      </c>
    </row>
    <row r="297" ht="54.0" customHeight="1" outlineLevel="1">
      <c r="A297" s="16"/>
      <c r="B297" s="16"/>
      <c r="C297" s="16"/>
      <c r="D297" s="16"/>
      <c r="E297" s="16"/>
      <c r="F297" s="16"/>
      <c r="G297" s="27" t="str">
        <f>IF($M$292="✖ 回答不要","【回答不要】 ","")&amp;"  └ その他の多要素認証"&amp;CHAR(10)&amp;"       [認証の手段や要素（例：パスワードと虹彩を用いた生体認証）*]"</f>
        <v>  └ その他の多要素認証
       [認証の手段や要素（例：パスワードと虹彩を用いた生体認証）*]</v>
      </c>
      <c r="H297" s="14"/>
      <c r="I297" s="15"/>
      <c r="J297" s="16"/>
      <c r="K297" s="16"/>
      <c r="L297" s="20"/>
      <c r="M297" s="17" t="str">
        <f t="shared" si="20"/>
        <v>要回答</v>
      </c>
    </row>
    <row r="298" ht="54.0" customHeight="1" outlineLevel="1">
      <c r="A298" s="16"/>
      <c r="B298" s="16"/>
      <c r="C298" s="16"/>
      <c r="D298" s="16"/>
      <c r="E298" s="16"/>
      <c r="F298" s="16"/>
      <c r="G298" s="26" t="str">
        <f>IF($M$292="✖ 回答不要","【回答不要】 ","")&amp;"ユーザーアカウントの一部に多要素認証が適用されている"</f>
        <v>ユーザーアカウントの一部に多要素認証が適用されている</v>
      </c>
      <c r="H298" s="14"/>
      <c r="I298" s="16"/>
      <c r="J298" s="16"/>
      <c r="K298" s="16"/>
      <c r="L298" s="15"/>
      <c r="M298" s="17" t="str">
        <f t="shared" si="20"/>
        <v>要回答</v>
      </c>
    </row>
    <row r="299" ht="54.0" customHeight="1" outlineLevel="1">
      <c r="A299" s="16"/>
      <c r="B299" s="16"/>
      <c r="C299" s="16"/>
      <c r="D299" s="16"/>
      <c r="E299" s="16"/>
      <c r="F299" s="16"/>
      <c r="G299" s="27" t="str">
        <f>IF($M$292="✖ 回答不要","【回答不要】 ","")&amp;"  └ パスワード＋ワンタイムパスワード"&amp;CHAR(10)&amp;"       [パスワード長、OTPの手段*]"</f>
        <v>  └ パスワード＋ワンタイムパスワード
       [パスワード長、OTPの手段*]</v>
      </c>
      <c r="H299" s="14"/>
      <c r="I299" s="15"/>
      <c r="J299" s="16"/>
      <c r="K299" s="16"/>
      <c r="L299" s="20"/>
      <c r="M299" s="17" t="str">
        <f t="shared" si="20"/>
        <v>要回答</v>
      </c>
    </row>
    <row r="300" ht="54.0" customHeight="1" outlineLevel="1">
      <c r="A300" s="16"/>
      <c r="B300" s="16"/>
      <c r="C300" s="16"/>
      <c r="D300" s="16"/>
      <c r="E300" s="16"/>
      <c r="F300" s="16"/>
      <c r="G300" s="27" t="str">
        <f>IF($M$292="✖ 回答不要","【回答不要】 ","")&amp;"  └ パスワード＋ユーザー個別の証明書"&amp;CHAR(10)&amp;"       [パスワード長*]"</f>
        <v>  └ パスワード＋ユーザー個別の証明書
       [パスワード長*]</v>
      </c>
      <c r="H300" s="14"/>
      <c r="I300" s="15"/>
      <c r="J300" s="16"/>
      <c r="K300" s="16"/>
      <c r="L300" s="20"/>
      <c r="M300" s="17" t="str">
        <f t="shared" si="20"/>
        <v>要回答</v>
      </c>
    </row>
    <row r="301" ht="54.0" customHeight="1" outlineLevel="1">
      <c r="A301" s="16"/>
      <c r="B301" s="16"/>
      <c r="C301" s="16"/>
      <c r="D301" s="16"/>
      <c r="E301" s="16"/>
      <c r="F301" s="16"/>
      <c r="G301" s="27" t="str">
        <f>IF($M$292="✖ 回答不要","【回答不要】 ","")&amp;"  └ パスワード＋セキュリティキー"&amp;CHAR(10)&amp;"       [パスワード長*]"</f>
        <v>  └ パスワード＋セキュリティキー
       [パスワード長*]</v>
      </c>
      <c r="H301" s="14"/>
      <c r="I301" s="15"/>
      <c r="J301" s="16"/>
      <c r="K301" s="16"/>
      <c r="L301" s="20"/>
      <c r="M301" s="17" t="str">
        <f t="shared" si="20"/>
        <v>要回答</v>
      </c>
    </row>
    <row r="302" ht="54.0" customHeight="1" outlineLevel="1">
      <c r="A302" s="16"/>
      <c r="B302" s="16"/>
      <c r="C302" s="16"/>
      <c r="D302" s="16"/>
      <c r="E302" s="16"/>
      <c r="F302" s="16"/>
      <c r="G302" s="27" t="str">
        <f>IF($M$292="✖ 回答不要","【回答不要】 ","")&amp;"  └ パスキー認証（多要素パスワードレス認証）"</f>
        <v>  └ パスキー認証（多要素パスワードレス認証）</v>
      </c>
      <c r="H302" s="14"/>
      <c r="I302" s="16"/>
      <c r="J302" s="16"/>
      <c r="K302" s="16"/>
      <c r="L302" s="20"/>
      <c r="M302" s="17" t="str">
        <f t="shared" si="20"/>
        <v>要回答</v>
      </c>
    </row>
    <row r="303" ht="54.0" customHeight="1" outlineLevel="1">
      <c r="A303" s="16"/>
      <c r="B303" s="16"/>
      <c r="C303" s="16"/>
      <c r="D303" s="16"/>
      <c r="E303" s="16"/>
      <c r="F303" s="16"/>
      <c r="G303" s="27" t="str">
        <f>IF($M$292="✖ 回答不要","【回答不要】 ","")&amp;"  └ その他の多要素認証"&amp;CHAR(10)&amp;"       [認証の手段や要素（例：パスワードと虹彩を用いた生体認証）*]"</f>
        <v>  └ その他の多要素認証
       [認証の手段や要素（例：パスワードと虹彩を用いた生体認証）*]</v>
      </c>
      <c r="H303" s="14"/>
      <c r="I303" s="15"/>
      <c r="J303" s="16"/>
      <c r="K303" s="16"/>
      <c r="L303" s="20"/>
      <c r="M303" s="17" t="str">
        <f t="shared" si="20"/>
        <v>要回答</v>
      </c>
    </row>
    <row r="304" ht="54.0" customHeight="1" outlineLevel="1">
      <c r="A304" s="16"/>
      <c r="B304" s="16"/>
      <c r="C304" s="16"/>
      <c r="D304" s="16"/>
      <c r="E304" s="16"/>
      <c r="F304" s="16"/>
      <c r="G304" s="26" t="str">
        <f>IF($M$292="✖ 回答不要","【回答不要】 ","")&amp;"すべてのユーザーアカウントが単一認証で認証されている"</f>
        <v>すべてのユーザーアカウントが単一認証で認証されている</v>
      </c>
      <c r="H304" s="14"/>
      <c r="I304" s="16"/>
      <c r="J304" s="16"/>
      <c r="K304" s="16"/>
      <c r="L304" s="15"/>
      <c r="M304" s="17" t="str">
        <f t="shared" si="20"/>
        <v>要回答</v>
      </c>
    </row>
    <row r="305" ht="54.0" customHeight="1" outlineLevel="1">
      <c r="A305" s="16"/>
      <c r="B305" s="16"/>
      <c r="C305" s="16"/>
      <c r="D305" s="16"/>
      <c r="E305" s="16"/>
      <c r="F305" s="16"/>
      <c r="G305" s="27" t="str">
        <f>IF($M$292="✖ 回答不要","【回答不要】 ","")&amp;"  └ パスワード"&amp;CHAR(10)&amp;"       [パスワード長*]"</f>
        <v>  └ パスワード
       [パスワード長*]</v>
      </c>
      <c r="H305" s="14"/>
      <c r="I305" s="15"/>
      <c r="J305" s="16"/>
      <c r="K305" s="16"/>
      <c r="L305" s="20"/>
      <c r="M305" s="17" t="str">
        <f t="shared" si="20"/>
        <v>要回答</v>
      </c>
    </row>
    <row r="306" ht="54.0" customHeight="1" outlineLevel="1">
      <c r="A306" s="16"/>
      <c r="B306" s="16"/>
      <c r="C306" s="16"/>
      <c r="D306" s="16"/>
      <c r="E306" s="16"/>
      <c r="F306" s="16"/>
      <c r="G306" s="27" t="str">
        <f>IF($M$292="✖ 回答不要","【回答不要】 ","")&amp;"  └ その他の単一認証"&amp;CHAR(10)&amp;"       [認証方法を記載してください*]"</f>
        <v>  └ その他の単一認証
       [認証方法を記載してください*]</v>
      </c>
      <c r="H306" s="14"/>
      <c r="I306" s="15"/>
      <c r="J306" s="16"/>
      <c r="K306" s="16"/>
      <c r="L306" s="20"/>
      <c r="M306" s="17" t="str">
        <f t="shared" si="20"/>
        <v>要回答</v>
      </c>
    </row>
    <row r="307" ht="54.0" customHeight="1" outlineLevel="1">
      <c r="A307" s="16"/>
      <c r="B307" s="16"/>
      <c r="C307" s="16"/>
      <c r="D307" s="16"/>
      <c r="E307" s="16"/>
      <c r="F307" s="16"/>
      <c r="G307" s="26" t="str">
        <f>IF($M$292="✖ 回答不要","【回答不要】 ","")&amp;"該当なし"</f>
        <v>該当なし</v>
      </c>
      <c r="H307" s="14"/>
      <c r="I307" s="16"/>
      <c r="J307" s="16"/>
      <c r="K307" s="16"/>
      <c r="L307" s="15"/>
      <c r="M307" s="17" t="str">
        <f t="shared" si="20"/>
        <v>要回答</v>
      </c>
    </row>
    <row r="308" ht="54.0" customHeight="1" outlineLevel="1">
      <c r="A308" s="16"/>
      <c r="B308" s="16"/>
      <c r="C308" s="16"/>
      <c r="D308" s="16"/>
      <c r="E308" s="16"/>
      <c r="F308" s="16"/>
      <c r="G308" s="26" t="str">
        <f>IF($M$292="✖ 回答不要","【回答不要】 ","")&amp;"非公開"</f>
        <v>非公開</v>
      </c>
      <c r="H308" s="14"/>
      <c r="I308" s="16"/>
      <c r="J308" s="16"/>
      <c r="K308" s="16"/>
      <c r="L308" s="15"/>
      <c r="M308" s="17" t="str">
        <f t="shared" si="20"/>
        <v>要回答</v>
      </c>
    </row>
    <row r="309" ht="54.0" customHeight="1" outlineLevel="1">
      <c r="A309" s="21">
        <v>40.0</v>
      </c>
      <c r="B309" s="22" t="str">
        <f>$M$309</f>
        <v>要回答</v>
      </c>
      <c r="C309" s="23" t="s">
        <v>30</v>
      </c>
      <c r="D309" s="23" t="s">
        <v>74</v>
      </c>
      <c r="E309" s="24" t="s">
        <v>81</v>
      </c>
      <c r="F309" s="25" t="str">
        <f>IF($M$309="✖ 回答不要","【この設問は回答不要です】"&amp;CHAR(10),"")&amp;"システムの保守、運用において利用するアカウントについて、アクセス制御に関して実施していることをすべて選択ください。"</f>
        <v>システムの保守、運用において利用するアカウントについて、アクセス制御に関して実施していることをすべて選択ください。</v>
      </c>
      <c r="G309" s="26" t="str">
        <f>IF($M$309="✖ 回答不要","【回答不要】 ","")&amp;"IPアドレスによるアクセス制限"</f>
        <v>IPアドレスによるアクセス制限</v>
      </c>
      <c r="H309" s="14"/>
      <c r="I309" s="16"/>
      <c r="J309" s="16"/>
      <c r="K309" s="16"/>
      <c r="L309" s="15"/>
      <c r="M309" s="17" t="str">
        <f t="shared" si="20"/>
        <v>要回答</v>
      </c>
    </row>
    <row r="310" ht="54.0" customHeight="1" outlineLevel="1">
      <c r="A310" s="16"/>
      <c r="B310" s="16"/>
      <c r="C310" s="16"/>
      <c r="D310" s="16"/>
      <c r="E310" s="16"/>
      <c r="F310" s="16"/>
      <c r="G310" s="26" t="str">
        <f>IF($M$309="✖ 回答不要","【回答不要】 ","")&amp;"共通の証明書によるアクセス端末制限"</f>
        <v>共通の証明書によるアクセス端末制限</v>
      </c>
      <c r="H310" s="14"/>
      <c r="I310" s="16"/>
      <c r="J310" s="16"/>
      <c r="K310" s="16"/>
      <c r="L310" s="15"/>
      <c r="M310" s="17" t="str">
        <f t="shared" si="20"/>
        <v>要回答</v>
      </c>
    </row>
    <row r="311" ht="54.0" customHeight="1" outlineLevel="1">
      <c r="A311" s="16"/>
      <c r="B311" s="16"/>
      <c r="C311" s="16"/>
      <c r="D311" s="16"/>
      <c r="E311" s="16"/>
      <c r="F311" s="16"/>
      <c r="G311" s="26" t="str">
        <f>IF($M$309="✖ 回答不要","【回答不要】 ","")&amp;"セッションタイムアウト"</f>
        <v>セッションタイムアウト</v>
      </c>
      <c r="H311" s="14"/>
      <c r="I311" s="16"/>
      <c r="J311" s="16"/>
      <c r="K311" s="16"/>
      <c r="L311" s="15"/>
      <c r="M311" s="17" t="str">
        <f t="shared" si="20"/>
        <v>要回答</v>
      </c>
    </row>
    <row r="312" ht="54.0" customHeight="1" outlineLevel="1">
      <c r="A312" s="16"/>
      <c r="B312" s="16"/>
      <c r="C312" s="16"/>
      <c r="D312" s="16"/>
      <c r="E312" s="16"/>
      <c r="F312" s="16"/>
      <c r="G312" s="26" t="str">
        <f>IF($M$309="✖ 回答不要","【回答不要】 ","")&amp;"物理的に隔てられたアクセス専用エリアの設置"</f>
        <v>物理的に隔てられたアクセス専用エリアの設置</v>
      </c>
      <c r="H312" s="14"/>
      <c r="I312" s="16"/>
      <c r="J312" s="16"/>
      <c r="K312" s="16"/>
      <c r="L312" s="15"/>
      <c r="M312" s="17" t="str">
        <f t="shared" si="20"/>
        <v>要回答</v>
      </c>
    </row>
    <row r="313" ht="54.0" customHeight="1" outlineLevel="1">
      <c r="A313" s="16"/>
      <c r="B313" s="16"/>
      <c r="C313" s="16"/>
      <c r="D313" s="16"/>
      <c r="E313" s="16"/>
      <c r="F313" s="16"/>
      <c r="G313" s="26" t="str">
        <f>IF($M$309="✖ 回答不要","【回答不要】 ","")&amp;"その他"&amp;CHAR(10)&amp;"   └ [詳細*]"</f>
        <v>その他
   └ [詳細*]</v>
      </c>
      <c r="H313" s="14"/>
      <c r="I313" s="15"/>
      <c r="J313" s="16"/>
      <c r="K313" s="16"/>
      <c r="L313" s="15"/>
      <c r="M313" s="17" t="str">
        <f t="shared" si="20"/>
        <v>要回答</v>
      </c>
    </row>
    <row r="314" ht="54.0" customHeight="1" outlineLevel="1">
      <c r="A314" s="16"/>
      <c r="B314" s="16"/>
      <c r="C314" s="16"/>
      <c r="D314" s="16"/>
      <c r="E314" s="16"/>
      <c r="F314" s="16"/>
      <c r="G314" s="26" t="str">
        <f>IF($M$309="✖ 回答不要","【回答不要】 ","")&amp;"該当なし"</f>
        <v>該当なし</v>
      </c>
      <c r="H314" s="14"/>
      <c r="I314" s="16"/>
      <c r="J314" s="16"/>
      <c r="K314" s="16"/>
      <c r="L314" s="15"/>
      <c r="M314" s="17" t="str">
        <f t="shared" si="20"/>
        <v>要回答</v>
      </c>
    </row>
    <row r="315" ht="54.0" customHeight="1" outlineLevel="1">
      <c r="A315" s="16"/>
      <c r="B315" s="16"/>
      <c r="C315" s="16"/>
      <c r="D315" s="16"/>
      <c r="E315" s="16"/>
      <c r="F315" s="16"/>
      <c r="G315" s="26" t="str">
        <f>IF($M$309="✖ 回答不要","【回答不要】 ","")&amp;"非公開"</f>
        <v>非公開</v>
      </c>
      <c r="H315" s="14"/>
      <c r="I315" s="16"/>
      <c r="J315" s="16"/>
      <c r="K315" s="16"/>
      <c r="L315" s="15"/>
      <c r="M315" s="17" t="str">
        <f t="shared" si="20"/>
        <v>要回答</v>
      </c>
    </row>
    <row r="316" ht="54.0" customHeight="1" outlineLevel="1">
      <c r="A316" s="21">
        <v>41.0</v>
      </c>
      <c r="B316" s="22" t="str">
        <f>$M$316</f>
        <v>要回答</v>
      </c>
      <c r="C316" s="23" t="s">
        <v>30</v>
      </c>
      <c r="D316" s="23" t="s">
        <v>74</v>
      </c>
      <c r="E316" s="24" t="s">
        <v>82</v>
      </c>
      <c r="F316" s="25" t="str">
        <f>IF($M$316="✖ 回答不要","【この設問は回答不要です】"&amp;CHAR(10),"")&amp;"システムの保守、運用において利用するアカウントの内、特権アカウントについて、実施していることをすべて選択してください。"</f>
        <v>システムの保守、運用において利用するアカウントの内、特権アカウントについて、実施していることをすべて選択してください。</v>
      </c>
      <c r="G316" s="26" t="str">
        <f>IF($M$316="✖ 回答不要","【回答不要】 ","")&amp;"特権アカウント取り扱いに関する運用ルールが文書化されている"</f>
        <v>特権アカウント取り扱いに関する運用ルールが文書化されている</v>
      </c>
      <c r="H316" s="14"/>
      <c r="I316" s="16"/>
      <c r="J316" s="16"/>
      <c r="K316" s="16"/>
      <c r="L316" s="15"/>
      <c r="M316" s="17" t="str">
        <f t="shared" si="20"/>
        <v>要回答</v>
      </c>
    </row>
    <row r="317" ht="54.0" customHeight="1" outlineLevel="1">
      <c r="A317" s="16"/>
      <c r="B317" s="16"/>
      <c r="C317" s="16"/>
      <c r="D317" s="16"/>
      <c r="E317" s="16"/>
      <c r="F317" s="16"/>
      <c r="G317" s="26" t="str">
        <f>IF($M$316="✖ 回答不要","【回答不要】 ","")&amp;"特権アカウント取り扱いに関する運用ルールを定期的に見直している"</f>
        <v>特権アカウント取り扱いに関する運用ルールを定期的に見直している</v>
      </c>
      <c r="H317" s="14"/>
      <c r="I317" s="16"/>
      <c r="J317" s="16"/>
      <c r="K317" s="16"/>
      <c r="L317" s="15"/>
      <c r="M317" s="17" t="str">
        <f t="shared" si="20"/>
        <v>要回答</v>
      </c>
    </row>
    <row r="318" ht="54.0" customHeight="1" outlineLevel="1">
      <c r="A318" s="16"/>
      <c r="B318" s="16"/>
      <c r="C318" s="16"/>
      <c r="D318" s="16"/>
      <c r="E318" s="16"/>
      <c r="F318" s="16"/>
      <c r="G318" s="26" t="str">
        <f>IF($M$316="✖ 回答不要","【回答不要】 ","")&amp;"特権アカウントが利用可能なユーザーを必要最小限に制限している"</f>
        <v>特権アカウントが利用可能なユーザーを必要最小限に制限している</v>
      </c>
      <c r="H318" s="14"/>
      <c r="I318" s="16"/>
      <c r="J318" s="16"/>
      <c r="K318" s="16"/>
      <c r="L318" s="15"/>
      <c r="M318" s="17" t="str">
        <f t="shared" si="20"/>
        <v>要回答</v>
      </c>
    </row>
    <row r="319" ht="54.0" customHeight="1" outlineLevel="1">
      <c r="A319" s="16"/>
      <c r="B319" s="16"/>
      <c r="C319" s="16"/>
      <c r="D319" s="16"/>
      <c r="E319" s="16"/>
      <c r="F319" s="16"/>
      <c r="G319" s="26" t="str">
        <f>IF($M$316="✖ 回答不要","【回答不要】 ","")&amp;"特権アカウントの利用においては承認を必須とし、特権アカウントの利用機会を必要最小限に制限している"</f>
        <v>特権アカウントの利用においては承認を必須とし、特権アカウントの利用機会を必要最小限に制限している</v>
      </c>
      <c r="H319" s="14"/>
      <c r="I319" s="16"/>
      <c r="J319" s="16"/>
      <c r="K319" s="16"/>
      <c r="L319" s="15"/>
      <c r="M319" s="17" t="str">
        <f t="shared" si="20"/>
        <v>要回答</v>
      </c>
    </row>
    <row r="320" ht="54.0" customHeight="1" outlineLevel="1">
      <c r="A320" s="16"/>
      <c r="B320" s="16"/>
      <c r="C320" s="16"/>
      <c r="D320" s="16"/>
      <c r="E320" s="16"/>
      <c r="F320" s="16"/>
      <c r="G320" s="26" t="str">
        <f>IF($M$316="✖ 回答不要","【回答不要】 ","")&amp;"特権アカウントの利用状況をモニタリングしている"</f>
        <v>特権アカウントの利用状況をモニタリングしている</v>
      </c>
      <c r="H320" s="14"/>
      <c r="I320" s="16"/>
      <c r="J320" s="16"/>
      <c r="K320" s="16"/>
      <c r="L320" s="15"/>
      <c r="M320" s="17" t="str">
        <f t="shared" si="20"/>
        <v>要回答</v>
      </c>
    </row>
    <row r="321" ht="54.0" customHeight="1" outlineLevel="1">
      <c r="A321" s="16"/>
      <c r="B321" s="16"/>
      <c r="C321" s="16"/>
      <c r="D321" s="16"/>
      <c r="E321" s="16"/>
      <c r="F321" s="16"/>
      <c r="G321" s="26" t="str">
        <f>IF($M$316="✖ 回答不要","【回答不要】 ","")&amp;"その他"&amp;CHAR(10)&amp;"   └ [詳細*]"</f>
        <v>その他
   └ [詳細*]</v>
      </c>
      <c r="H321" s="14"/>
      <c r="I321" s="15"/>
      <c r="J321" s="16"/>
      <c r="K321" s="16"/>
      <c r="L321" s="15"/>
      <c r="M321" s="17" t="str">
        <f t="shared" si="20"/>
        <v>要回答</v>
      </c>
    </row>
    <row r="322" ht="54.0" customHeight="1" outlineLevel="1">
      <c r="A322" s="16"/>
      <c r="B322" s="16"/>
      <c r="C322" s="16"/>
      <c r="D322" s="16"/>
      <c r="E322" s="16"/>
      <c r="F322" s="16"/>
      <c r="G322" s="26" t="str">
        <f>IF($M$316="✖ 回答不要","【回答不要】 ","")&amp;"該当なし"</f>
        <v>該当なし</v>
      </c>
      <c r="H322" s="14"/>
      <c r="I322" s="16"/>
      <c r="J322" s="16"/>
      <c r="K322" s="16"/>
      <c r="L322" s="15"/>
      <c r="M322" s="17" t="str">
        <f t="shared" si="20"/>
        <v>要回答</v>
      </c>
    </row>
    <row r="323" ht="54.0" customHeight="1" outlineLevel="1">
      <c r="A323" s="16"/>
      <c r="B323" s="16"/>
      <c r="C323" s="16"/>
      <c r="D323" s="16"/>
      <c r="E323" s="16"/>
      <c r="F323" s="16"/>
      <c r="G323" s="26" t="str">
        <f>IF($M$316="✖ 回答不要","【回答不要】 ","")&amp;"非公開"</f>
        <v>非公開</v>
      </c>
      <c r="H323" s="14"/>
      <c r="I323" s="16"/>
      <c r="J323" s="16"/>
      <c r="K323" s="16"/>
      <c r="L323" s="15"/>
      <c r="M323" s="17" t="str">
        <f t="shared" si="20"/>
        <v>要回答</v>
      </c>
    </row>
    <row r="324" ht="54.0" customHeight="1" outlineLevel="1">
      <c r="A324" s="21">
        <v>42.0</v>
      </c>
      <c r="B324" s="22" t="str">
        <f>$M$324</f>
        <v>要回答</v>
      </c>
      <c r="C324" s="23" t="s">
        <v>30</v>
      </c>
      <c r="D324" s="23" t="s">
        <v>74</v>
      </c>
      <c r="E324" s="24" t="s">
        <v>83</v>
      </c>
      <c r="F324" s="25" t="str">
        <f>IF($M$324="✖ 回答不要","【この設問は回答不要です】"&amp;CHAR(10),"")&amp;"システムのコンポーネントにおいて、管理者権限を保持する特権的ユーティリティおよびサービスアカウントのアクセス制限・権限管理として実施していることをすべて選択してください。"</f>
        <v>システムのコンポーネントにおいて、管理者権限を保持する特権的ユーティリティおよびサービスアカウントのアクセス制限・権限管理として実施していることをすべて選択してください。</v>
      </c>
      <c r="G324" s="26" t="str">
        <f>IF($M$324="✖ 回答不要","【回答不要】 ","")&amp;"用途以上に必要な権限を付与していない（Webサーバやアプリケーションサーバのプロセスを管理者権限以外で起動している等）"</f>
        <v>用途以上に必要な権限を付与していない（Webサーバやアプリケーションサーバのプロセスを管理者権限以外で起動している等）</v>
      </c>
      <c r="H324" s="14"/>
      <c r="I324" s="16"/>
      <c r="J324" s="16"/>
      <c r="K324" s="16"/>
      <c r="L324" s="15"/>
      <c r="M324" s="17" t="str">
        <f t="shared" si="20"/>
        <v>要回答</v>
      </c>
    </row>
    <row r="325" ht="54.0" customHeight="1" outlineLevel="1">
      <c r="A325" s="16"/>
      <c r="B325" s="16"/>
      <c r="C325" s="16"/>
      <c r="D325" s="16"/>
      <c r="E325" s="16"/>
      <c r="F325" s="16"/>
      <c r="G325" s="26" t="str">
        <f>IF($M$324="✖ 回答不要","【回答不要】 ","")&amp;"サービスやデーモン、プロトコルは必要なもののみ設定および起動をしており、不要なものは起動できないようにしている"</f>
        <v>サービスやデーモン、プロトコルは必要なもののみ設定および起動をしており、不要なものは起動できないようにしている</v>
      </c>
      <c r="H325" s="14"/>
      <c r="I325" s="16"/>
      <c r="J325" s="16"/>
      <c r="K325" s="16"/>
      <c r="L325" s="15"/>
      <c r="M325" s="17" t="str">
        <f t="shared" si="20"/>
        <v>要回答</v>
      </c>
    </row>
    <row r="326" ht="54.0" customHeight="1" outlineLevel="1">
      <c r="A326" s="16"/>
      <c r="B326" s="16"/>
      <c r="C326" s="16"/>
      <c r="D326" s="16"/>
      <c r="E326" s="16"/>
      <c r="F326" s="16"/>
      <c r="G326" s="26" t="str">
        <f>IF($M$324="✖ 回答不要","【回答不要】 ","")&amp;"ログインが必要なサービスアカウントについて十分な認証を行い、ログインが不要なサービスアカウントについては技術的にログイン不可としている"</f>
        <v>ログインが必要なサービスアカウントについて十分な認証を行い、ログインが不要なサービスアカウントについては技術的にログイン不可としている</v>
      </c>
      <c r="H326" s="14"/>
      <c r="I326" s="16"/>
      <c r="J326" s="16"/>
      <c r="K326" s="16"/>
      <c r="L326" s="15"/>
      <c r="M326" s="17" t="str">
        <f t="shared" si="20"/>
        <v>要回答</v>
      </c>
    </row>
    <row r="327" ht="54.0" customHeight="1" outlineLevel="1">
      <c r="A327" s="16"/>
      <c r="B327" s="16"/>
      <c r="C327" s="16"/>
      <c r="D327" s="16"/>
      <c r="E327" s="16"/>
      <c r="F327" s="16"/>
      <c r="G327" s="26" t="str">
        <f>IF($M$324="✖ 回答不要","【回答不要】 ","")&amp;"該当なし"</f>
        <v>該当なし</v>
      </c>
      <c r="H327" s="14"/>
      <c r="I327" s="16"/>
      <c r="J327" s="16"/>
      <c r="K327" s="16"/>
      <c r="L327" s="15"/>
      <c r="M327" s="17" t="str">
        <f t="shared" si="20"/>
        <v>要回答</v>
      </c>
    </row>
    <row r="328" ht="54.0" customHeight="1" outlineLevel="1">
      <c r="A328" s="16"/>
      <c r="B328" s="16"/>
      <c r="C328" s="16"/>
      <c r="D328" s="16"/>
      <c r="E328" s="16"/>
      <c r="F328" s="16"/>
      <c r="G328" s="26" t="str">
        <f>IF($M$324="✖ 回答不要","【回答不要】 ","")&amp;"非公開"</f>
        <v>非公開</v>
      </c>
      <c r="H328" s="14"/>
      <c r="I328" s="16"/>
      <c r="J328" s="16"/>
      <c r="K328" s="16"/>
      <c r="L328" s="15"/>
      <c r="M328" s="17" t="str">
        <f t="shared" si="20"/>
        <v>要回答</v>
      </c>
    </row>
    <row r="329" ht="54.0" customHeight="1" outlineLevel="1">
      <c r="A329" s="21">
        <v>43.0</v>
      </c>
      <c r="B329" s="22" t="str">
        <f>$M$329</f>
        <v>要回答</v>
      </c>
      <c r="C329" s="23" t="s">
        <v>30</v>
      </c>
      <c r="D329" s="23" t="s">
        <v>74</v>
      </c>
      <c r="E329" s="24" t="s">
        <v>84</v>
      </c>
      <c r="F329" s="25" t="str">
        <f>IF($M$329="✖ 回答不要","【この設問は回答不要です】"&amp;CHAR(10),"")&amp;"取引元が管理するシステムを利用する際のアカウント運用形態について、該当するものを選択してください。"</f>
        <v>取引元が管理するシステムを利用する際のアカウント運用形態について、該当するものを選択してください。</v>
      </c>
      <c r="G329" s="26" t="str">
        <f>IF($M$329="✖ 回答不要","【回答不要】 ","")&amp;"取引元がアカウントの発行・削除やアクセス権限の付与・剥奪をすべて管理している"</f>
        <v>取引元がアカウントの発行・削除やアクセス権限の付与・剥奪をすべて管理している</v>
      </c>
      <c r="H329" s="14"/>
      <c r="I329" s="16"/>
      <c r="J329" s="16"/>
      <c r="K329" s="16"/>
      <c r="L329" s="15"/>
      <c r="M329" s="17" t="str">
        <f t="shared" ref="M329:M334" si="21">IF(OR($H$39="○"),"✖ 回答不要","要回答")</f>
        <v>要回答</v>
      </c>
    </row>
    <row r="330" ht="54.0" customHeight="1" outlineLevel="1">
      <c r="A330" s="16"/>
      <c r="B330" s="16"/>
      <c r="C330" s="16"/>
      <c r="D330" s="16"/>
      <c r="E330" s="16"/>
      <c r="F330" s="16"/>
      <c r="G330" s="26" t="str">
        <f>IF($M$329="✖ 回答不要","【回答不要】 ","")&amp;"取引元から管理者権限を委譲され、回答事業者がアカウントおよびアクセス権限の管理を行っている"</f>
        <v>取引元から管理者権限を委譲され、回答事業者がアカウントおよびアクセス権限の管理を行っている</v>
      </c>
      <c r="H330" s="14"/>
      <c r="I330" s="16"/>
      <c r="J330" s="16"/>
      <c r="K330" s="16"/>
      <c r="L330" s="15"/>
      <c r="M330" s="17" t="str">
        <f t="shared" si="21"/>
        <v>要回答</v>
      </c>
    </row>
    <row r="331" ht="54.0" customHeight="1" outlineLevel="1">
      <c r="A331" s="16"/>
      <c r="B331" s="16"/>
      <c r="C331" s="16"/>
      <c r="D331" s="16"/>
      <c r="E331" s="16"/>
      <c r="F331" s="16"/>
      <c r="G331" s="26" t="str">
        <f>IF($M$329="✖ 回答不要","【回答不要】 ","")&amp;"回答事業者のID基盤と連携または個人所有のアカウントを利用している"</f>
        <v>回答事業者のID基盤と連携または個人所有のアカウントを利用している</v>
      </c>
      <c r="H331" s="14"/>
      <c r="I331" s="16"/>
      <c r="J331" s="16"/>
      <c r="K331" s="16"/>
      <c r="L331" s="15"/>
      <c r="M331" s="17" t="str">
        <f t="shared" si="21"/>
        <v>要回答</v>
      </c>
    </row>
    <row r="332" ht="54.0" customHeight="1" outlineLevel="1">
      <c r="A332" s="16"/>
      <c r="B332" s="16"/>
      <c r="C332" s="16"/>
      <c r="D332" s="16"/>
      <c r="E332" s="16"/>
      <c r="F332" s="16"/>
      <c r="G332" s="27" t="str">
        <f>IF($M$329="✖ 回答不要","【回答不要】 ","")&amp;"  └ 回答事業者のID基盤と連携している（フェデレーション）"</f>
        <v>  └ 回答事業者のID基盤と連携している（フェデレーション）</v>
      </c>
      <c r="H332" s="14"/>
      <c r="I332" s="16"/>
      <c r="J332" s="16"/>
      <c r="K332" s="16"/>
      <c r="L332" s="20"/>
      <c r="M332" s="17" t="str">
        <f t="shared" si="21"/>
        <v>要回答</v>
      </c>
    </row>
    <row r="333" ht="54.0" customHeight="1" outlineLevel="1">
      <c r="A333" s="16"/>
      <c r="B333" s="16"/>
      <c r="C333" s="16"/>
      <c r="D333" s="16"/>
      <c r="E333" s="16"/>
      <c r="F333" s="16"/>
      <c r="G333" s="27" t="str">
        <f>IF($M$329="✖ 回答不要","【回答不要】 ","")&amp;"  └ 個人所有のアカウントを利用している（BYOID）"</f>
        <v>  └ 個人所有のアカウントを利用している（BYOID）</v>
      </c>
      <c r="H333" s="14"/>
      <c r="I333" s="16"/>
      <c r="J333" s="16"/>
      <c r="K333" s="16"/>
      <c r="L333" s="20"/>
      <c r="M333" s="17" t="str">
        <f t="shared" si="21"/>
        <v>要回答</v>
      </c>
    </row>
    <row r="334" ht="54.0" customHeight="1" outlineLevel="1">
      <c r="A334" s="16"/>
      <c r="B334" s="16"/>
      <c r="C334" s="16"/>
      <c r="D334" s="16"/>
      <c r="E334" s="16"/>
      <c r="F334" s="16"/>
      <c r="G334" s="26" t="str">
        <f>IF($M$329="✖ 回答不要","【回答不要】 ","")&amp;"非公開"</f>
        <v>非公開</v>
      </c>
      <c r="H334" s="14"/>
      <c r="I334" s="16"/>
      <c r="J334" s="16"/>
      <c r="K334" s="16"/>
      <c r="L334" s="15"/>
      <c r="M334" s="17" t="str">
        <f t="shared" si="21"/>
        <v>要回答</v>
      </c>
    </row>
    <row r="335" ht="54.0" customHeight="1" outlineLevel="1">
      <c r="A335" s="21">
        <v>44.0</v>
      </c>
      <c r="B335" s="22" t="str">
        <f>$M$335</f>
        <v>要回答</v>
      </c>
      <c r="C335" s="23" t="s">
        <v>30</v>
      </c>
      <c r="D335" s="23" t="s">
        <v>74</v>
      </c>
      <c r="E335" s="24" t="s">
        <v>85</v>
      </c>
      <c r="F335" s="25" t="str">
        <f>IF($M$335="✖ 回答不要","【この設問は回答不要です】"&amp;CHAR(10),"")&amp;"システムの利用者が退職・異動となった場合、取引元に対して、速やかにアカウントの削除やアクセス権限の剥奪を依頼していますか。"</f>
        <v>システムの利用者が退職・異動となった場合、取引元に対して、速やかにアカウントの削除やアクセス権限の剥奪を依頼していますか。</v>
      </c>
      <c r="G335" s="26" t="str">
        <f>IF($M$335="✖ 回答不要","【回答不要】 ","")&amp;"はい"</f>
        <v>はい</v>
      </c>
      <c r="H335" s="14"/>
      <c r="I335" s="16"/>
      <c r="J335" s="16"/>
      <c r="K335" s="16"/>
      <c r="L335" s="15"/>
      <c r="M335" s="17" t="str">
        <f t="shared" ref="M335:M337" si="22">IF(OR(OR($H$39="○"),OR($H$330="○",$H$331="○")),"✖ 回答不要","要回答")</f>
        <v>要回答</v>
      </c>
    </row>
    <row r="336" ht="54.0" customHeight="1" outlineLevel="1">
      <c r="A336" s="16"/>
      <c r="B336" s="16"/>
      <c r="C336" s="16"/>
      <c r="D336" s="16"/>
      <c r="E336" s="16"/>
      <c r="F336" s="16"/>
      <c r="G336" s="26" t="str">
        <f>IF($M$335="✖ 回答不要","【回答不要】 ","")&amp;"いいえ"</f>
        <v>いいえ</v>
      </c>
      <c r="H336" s="14"/>
      <c r="I336" s="16"/>
      <c r="J336" s="16"/>
      <c r="K336" s="16"/>
      <c r="L336" s="15"/>
      <c r="M336" s="17" t="str">
        <f t="shared" si="22"/>
        <v>要回答</v>
      </c>
    </row>
    <row r="337" ht="54.0" customHeight="1" outlineLevel="1">
      <c r="A337" s="16"/>
      <c r="B337" s="16"/>
      <c r="C337" s="16"/>
      <c r="D337" s="16"/>
      <c r="E337" s="16"/>
      <c r="F337" s="16"/>
      <c r="G337" s="26" t="str">
        <f>IF($M$335="✖ 回答不要","【回答不要】 ","")&amp;"非公開"</f>
        <v>非公開</v>
      </c>
      <c r="H337" s="14"/>
      <c r="I337" s="16"/>
      <c r="J337" s="16"/>
      <c r="K337" s="16"/>
      <c r="L337" s="15"/>
      <c r="M337" s="17" t="str">
        <f t="shared" si="22"/>
        <v>要回答</v>
      </c>
    </row>
    <row r="338" ht="54.0" customHeight="1" outlineLevel="1">
      <c r="A338" s="21">
        <v>45.0</v>
      </c>
      <c r="B338" s="22" t="str">
        <f>$M$338</f>
        <v>要回答</v>
      </c>
      <c r="C338" s="23" t="s">
        <v>30</v>
      </c>
      <c r="D338" s="23" t="s">
        <v>74</v>
      </c>
      <c r="E338" s="24" t="s">
        <v>86</v>
      </c>
      <c r="F338" s="25" t="str">
        <f>IF($M$338="✖ 回答不要","【この設問は回答不要です】"&amp;CHAR(10),"")&amp;"取引元から委譲された権限を使用したアカウントおよびアクセス権限の管理について、該当するものをすべて選択してください。"</f>
        <v>取引元から委譲された権限を使用したアカウントおよびアクセス権限の管理について、該当するものをすべて選択してください。</v>
      </c>
      <c r="G338" s="26" t="str">
        <f>IF($M$338="✖ 回答不要","【回答不要】 ","")&amp;"アカウントの発行やアクセス権限の付与を行う場合は、業務上の必要性を確認している"</f>
        <v>アカウントの発行やアクセス権限の付与を行う場合は、業務上の必要性を確認している</v>
      </c>
      <c r="H338" s="14"/>
      <c r="I338" s="16"/>
      <c r="J338" s="16"/>
      <c r="K338" s="16"/>
      <c r="L338" s="15"/>
      <c r="M338" s="17" t="str">
        <f t="shared" ref="M338:M342" si="23">IF(OR(OR($H$39="○"),OR($H$329="○",$H$331="○")),"✖ 回答不要","要回答")</f>
        <v>要回答</v>
      </c>
    </row>
    <row r="339" ht="54.0" customHeight="1" outlineLevel="1">
      <c r="A339" s="16"/>
      <c r="B339" s="16"/>
      <c r="C339" s="16"/>
      <c r="D339" s="16"/>
      <c r="E339" s="16"/>
      <c r="F339" s="16"/>
      <c r="G339" s="26" t="str">
        <f>IF($M$338="✖ 回答不要","【回答不要】 ","")&amp;"システムの利用者が退職・異動となった場合、速やかにアカウントの削除またはアクセス権限の剥奪を実施している"</f>
        <v>システムの利用者が退職・異動となった場合、速やかにアカウントの削除またはアクセス権限の剥奪を実施している</v>
      </c>
      <c r="H339" s="14"/>
      <c r="I339" s="16"/>
      <c r="J339" s="16"/>
      <c r="K339" s="16"/>
      <c r="L339" s="15"/>
      <c r="M339" s="17" t="str">
        <f t="shared" si="23"/>
        <v>要回答</v>
      </c>
    </row>
    <row r="340" ht="54.0" customHeight="1" outlineLevel="1">
      <c r="A340" s="16"/>
      <c r="B340" s="16"/>
      <c r="C340" s="16"/>
      <c r="D340" s="16"/>
      <c r="E340" s="16"/>
      <c r="F340" s="16"/>
      <c r="G340" s="26" t="str">
        <f>IF($M$338="✖ 回答不要","【回答不要】 ","")&amp;"定期的にアカウントの棚卸を実施し、不要なアカウントやアクセス権限が残存していないことを確認している"</f>
        <v>定期的にアカウントの棚卸を実施し、不要なアカウントやアクセス権限が残存していないことを確認している</v>
      </c>
      <c r="H340" s="14"/>
      <c r="I340" s="16"/>
      <c r="J340" s="16"/>
      <c r="K340" s="16"/>
      <c r="L340" s="15"/>
      <c r="M340" s="17" t="str">
        <f t="shared" si="23"/>
        <v>要回答</v>
      </c>
    </row>
    <row r="341" ht="54.0" customHeight="1" outlineLevel="1">
      <c r="A341" s="16"/>
      <c r="B341" s="16"/>
      <c r="C341" s="16"/>
      <c r="D341" s="16"/>
      <c r="E341" s="16"/>
      <c r="F341" s="16"/>
      <c r="G341" s="26" t="str">
        <f>IF($M$338="✖ 回答不要","【回答不要】 ","")&amp;"該当なし"</f>
        <v>該当なし</v>
      </c>
      <c r="H341" s="14"/>
      <c r="I341" s="16"/>
      <c r="J341" s="16"/>
      <c r="K341" s="16"/>
      <c r="L341" s="15"/>
      <c r="M341" s="17" t="str">
        <f t="shared" si="23"/>
        <v>要回答</v>
      </c>
    </row>
    <row r="342" ht="54.0" customHeight="1" outlineLevel="1">
      <c r="A342" s="16"/>
      <c r="B342" s="16"/>
      <c r="C342" s="16"/>
      <c r="D342" s="16"/>
      <c r="E342" s="16"/>
      <c r="F342" s="16"/>
      <c r="G342" s="26" t="str">
        <f>IF($M$338="✖ 回答不要","【回答不要】 ","")&amp;"非公開"</f>
        <v>非公開</v>
      </c>
      <c r="H342" s="14"/>
      <c r="I342" s="16"/>
      <c r="J342" s="16"/>
      <c r="K342" s="16"/>
      <c r="L342" s="15"/>
      <c r="M342" s="17" t="str">
        <f t="shared" si="23"/>
        <v>要回答</v>
      </c>
    </row>
    <row r="343" ht="54.0" customHeight="1" outlineLevel="1">
      <c r="A343" s="21">
        <v>46.0</v>
      </c>
      <c r="B343" s="22" t="str">
        <f>$M$343</f>
        <v>要回答</v>
      </c>
      <c r="C343" s="23" t="s">
        <v>30</v>
      </c>
      <c r="D343" s="23" t="s">
        <v>74</v>
      </c>
      <c r="E343" s="24" t="s">
        <v>87</v>
      </c>
      <c r="F343" s="25" t="str">
        <f>IF($M$343="✖ 回答不要","【この設問は回答不要です】"&amp;CHAR(10),"")&amp;"回答事業者のID基盤におけるアカウント管理、および取引元システムへのアクセス権限管理について、該当するものをすべて選択してください。"</f>
        <v>回答事業者のID基盤におけるアカウント管理、および取引元システムへのアクセス権限管理について、該当するものをすべて選択してください。</v>
      </c>
      <c r="G343" s="26" t="str">
        <f>IF($M$343="✖ 回答不要","【回答不要】 ","")&amp;"システムの利用者が退職となった場合、回答事業者のID基盤において、速やかにアカウントの削除または無効化を実施している"</f>
        <v>システムの利用者が退職となった場合、回答事業者のID基盤において、速やかにアカウントの削除または無効化を実施している</v>
      </c>
      <c r="H343" s="14"/>
      <c r="I343" s="16"/>
      <c r="J343" s="16"/>
      <c r="K343" s="16"/>
      <c r="L343" s="15"/>
      <c r="M343" s="17" t="str">
        <f t="shared" ref="M343:M346" si="24">IF(OR(OR($H$39="○"),OR($H$329="○",$H$330="○")),"✖ 回答不要","要回答")</f>
        <v>要回答</v>
      </c>
    </row>
    <row r="344" ht="54.0" customHeight="1" outlineLevel="1">
      <c r="A344" s="16"/>
      <c r="B344" s="16"/>
      <c r="C344" s="16"/>
      <c r="D344" s="16"/>
      <c r="E344" s="16"/>
      <c r="F344" s="16"/>
      <c r="G344" s="26" t="str">
        <f>IF($M$343="✖ 回答不要","【回答不要】 ","")&amp;"システムの利用者が退職・異動となった場合、取引元に対して速やかにアクセス権限の剥奪を依頼している"</f>
        <v>システムの利用者が退職・異動となった場合、取引元に対して速やかにアクセス権限の剥奪を依頼している</v>
      </c>
      <c r="H344" s="14"/>
      <c r="I344" s="16"/>
      <c r="J344" s="16"/>
      <c r="K344" s="16"/>
      <c r="L344" s="15"/>
      <c r="M344" s="17" t="str">
        <f t="shared" si="24"/>
        <v>要回答</v>
      </c>
    </row>
    <row r="345" ht="54.0" customHeight="1" outlineLevel="1">
      <c r="A345" s="16"/>
      <c r="B345" s="16"/>
      <c r="C345" s="16"/>
      <c r="D345" s="16"/>
      <c r="E345" s="16"/>
      <c r="F345" s="16"/>
      <c r="G345" s="26" t="str">
        <f>IF($M$343="✖ 回答不要","【回答不要】 ","")&amp;"該当なし"</f>
        <v>該当なし</v>
      </c>
      <c r="H345" s="14"/>
      <c r="I345" s="16"/>
      <c r="J345" s="16"/>
      <c r="K345" s="16"/>
      <c r="L345" s="15"/>
      <c r="M345" s="17" t="str">
        <f t="shared" si="24"/>
        <v>要回答</v>
      </c>
    </row>
    <row r="346" ht="54.0" customHeight="1" outlineLevel="1">
      <c r="A346" s="16"/>
      <c r="B346" s="16"/>
      <c r="C346" s="16"/>
      <c r="D346" s="16"/>
      <c r="E346" s="16"/>
      <c r="F346" s="16"/>
      <c r="G346" s="26" t="str">
        <f>IF($M$343="✖ 回答不要","【回答不要】 ","")&amp;"非公開"</f>
        <v>非公開</v>
      </c>
      <c r="H346" s="14"/>
      <c r="I346" s="16"/>
      <c r="J346" s="16"/>
      <c r="K346" s="16"/>
      <c r="L346" s="15"/>
      <c r="M346" s="17" t="str">
        <f t="shared" si="24"/>
        <v>要回答</v>
      </c>
    </row>
    <row r="347" ht="54.0" customHeight="1" outlineLevel="1">
      <c r="A347" s="21">
        <v>47.0</v>
      </c>
      <c r="B347" s="22" t="str">
        <f>$M$347</f>
        <v>要回答</v>
      </c>
      <c r="C347" s="23" t="s">
        <v>30</v>
      </c>
      <c r="D347" s="23" t="s">
        <v>74</v>
      </c>
      <c r="E347" s="24" t="s">
        <v>88</v>
      </c>
      <c r="F347" s="25" t="str">
        <f>IF($M$347="✖ 回答不要","【この設問は回答不要です】"&amp;CHAR(10),"")&amp;"取引元が管理するシステムを利用する際のアカウントを共用していますか。"</f>
        <v>取引元が管理するシステムを利用する際のアカウントを共用していますか。</v>
      </c>
      <c r="G347" s="26" t="str">
        <f>IF($M$347="✖ 回答不要","【回答不要】 ","")&amp;"はい（共用アカウントが存在する）"</f>
        <v>はい（共用アカウントが存在する）</v>
      </c>
      <c r="H347" s="14"/>
      <c r="I347" s="16"/>
      <c r="J347" s="16"/>
      <c r="K347" s="16"/>
      <c r="L347" s="15"/>
      <c r="M347" s="17" t="str">
        <f t="shared" ref="M347:M349" si="25">IF(OR($H$39="○"),"✖ 回答不要","要回答")</f>
        <v>要回答</v>
      </c>
    </row>
    <row r="348" ht="54.0" customHeight="1" outlineLevel="1">
      <c r="A348" s="16"/>
      <c r="B348" s="16"/>
      <c r="C348" s="16"/>
      <c r="D348" s="16"/>
      <c r="E348" s="16"/>
      <c r="F348" s="16"/>
      <c r="G348" s="26" t="str">
        <f>IF($M$347="✖ 回答不要","【回答不要】 ","")&amp;"いいえ（共用アカウントは存在しない）"</f>
        <v>いいえ（共用アカウントは存在しない）</v>
      </c>
      <c r="H348" s="14"/>
      <c r="I348" s="16"/>
      <c r="J348" s="16"/>
      <c r="K348" s="16"/>
      <c r="L348" s="15"/>
      <c r="M348" s="17" t="str">
        <f t="shared" si="25"/>
        <v>要回答</v>
      </c>
    </row>
    <row r="349" ht="54.0" customHeight="1" outlineLevel="1">
      <c r="A349" s="16"/>
      <c r="B349" s="16"/>
      <c r="C349" s="16"/>
      <c r="D349" s="16"/>
      <c r="E349" s="16"/>
      <c r="F349" s="16"/>
      <c r="G349" s="26" t="str">
        <f>IF($M$347="✖ 回答不要","【回答不要】 ","")&amp;"非公開"</f>
        <v>非公開</v>
      </c>
      <c r="H349" s="14"/>
      <c r="I349" s="16"/>
      <c r="J349" s="16"/>
      <c r="K349" s="16"/>
      <c r="L349" s="15"/>
      <c r="M349" s="17" t="str">
        <f t="shared" si="25"/>
        <v>要回答</v>
      </c>
    </row>
    <row r="350" ht="54.0" customHeight="1" outlineLevel="1">
      <c r="A350" s="21">
        <v>48.0</v>
      </c>
      <c r="B350" s="22" t="str">
        <f>$M$350</f>
        <v>要回答</v>
      </c>
      <c r="C350" s="23" t="s">
        <v>30</v>
      </c>
      <c r="D350" s="23" t="s">
        <v>74</v>
      </c>
      <c r="E350" s="24" t="s">
        <v>89</v>
      </c>
      <c r="F350" s="25" t="str">
        <f>IF($M$350="✖ 回答不要","【この設問は回答不要です】"&amp;CHAR(10),"")&amp;"共用アカウントについて実施している対策をすべて選択してください。"</f>
        <v>共用アカウントについて実施している対策をすべて選択してください。</v>
      </c>
      <c r="G350" s="26" t="str">
        <f>IF($M$350="✖ 回答不要","【回答不要】 ","")&amp;"共用するアカウントと利用可能なユーザーを特定している"</f>
        <v>共用するアカウントと利用可能なユーザーを特定している</v>
      </c>
      <c r="H350" s="14"/>
      <c r="I350" s="16"/>
      <c r="J350" s="16"/>
      <c r="K350" s="16"/>
      <c r="L350" s="15"/>
      <c r="M350" s="17" t="str">
        <f t="shared" ref="M350:M356" si="26">IF(OR(OR($H$39="○"),OR($H$348="○")),"✖ 回答不要","要回答")</f>
        <v>要回答</v>
      </c>
    </row>
    <row r="351" ht="54.0" customHeight="1" outlineLevel="1">
      <c r="A351" s="16"/>
      <c r="B351" s="16"/>
      <c r="C351" s="16"/>
      <c r="D351" s="16"/>
      <c r="E351" s="16"/>
      <c r="F351" s="16"/>
      <c r="G351" s="26" t="str">
        <f>IF($M$350="✖ 回答不要","【回答不要】 ","")&amp;"事前に社内承認を得た場合のみ利用可能としている"</f>
        <v>事前に社内承認を得た場合のみ利用可能としている</v>
      </c>
      <c r="H351" s="14"/>
      <c r="I351" s="16"/>
      <c r="J351" s="16"/>
      <c r="K351" s="16"/>
      <c r="L351" s="15"/>
      <c r="M351" s="17" t="str">
        <f t="shared" si="26"/>
        <v>要回答</v>
      </c>
    </row>
    <row r="352" ht="54.0" customHeight="1" outlineLevel="1">
      <c r="A352" s="16"/>
      <c r="B352" s="16"/>
      <c r="C352" s="16"/>
      <c r="D352" s="16"/>
      <c r="E352" s="16"/>
      <c r="F352" s="16"/>
      <c r="G352" s="26" t="str">
        <f>IF($M$350="✖ 回答不要","【回答不要】 ","")&amp;"共用アカウントを貸出運用とし、返却の都度、認証情報（パスワード等）を変更している"</f>
        <v>共用アカウントを貸出運用とし、返却の都度、認証情報（パスワード等）を変更している</v>
      </c>
      <c r="H352" s="14"/>
      <c r="I352" s="16"/>
      <c r="J352" s="16"/>
      <c r="K352" s="16"/>
      <c r="L352" s="15"/>
      <c r="M352" s="17" t="str">
        <f t="shared" si="26"/>
        <v>要回答</v>
      </c>
    </row>
    <row r="353" ht="54.0" customHeight="1" outlineLevel="1">
      <c r="A353" s="16"/>
      <c r="B353" s="16"/>
      <c r="C353" s="16"/>
      <c r="D353" s="16"/>
      <c r="E353" s="16"/>
      <c r="F353" s="16"/>
      <c r="G353" s="26" t="str">
        <f>IF($M$350="✖ 回答不要","【回答不要】 ","")&amp;"管理簿や利用ログ等で適切な利用かを確認している"</f>
        <v>管理簿や利用ログ等で適切な利用かを確認している</v>
      </c>
      <c r="H353" s="14"/>
      <c r="I353" s="16"/>
      <c r="J353" s="16"/>
      <c r="K353" s="16"/>
      <c r="L353" s="15"/>
      <c r="M353" s="17" t="str">
        <f t="shared" si="26"/>
        <v>要回答</v>
      </c>
    </row>
    <row r="354" ht="54.0" customHeight="1" outlineLevel="1">
      <c r="A354" s="16"/>
      <c r="B354" s="16"/>
      <c r="C354" s="16"/>
      <c r="D354" s="16"/>
      <c r="E354" s="16"/>
      <c r="F354" s="16"/>
      <c r="G354" s="26" t="str">
        <f>IF($M$350="✖ 回答不要","【回答不要】 ","")&amp;"その他"&amp;CHAR(10)&amp;"   └ [詳細*]"</f>
        <v>その他
   └ [詳細*]</v>
      </c>
      <c r="H354" s="14"/>
      <c r="I354" s="15"/>
      <c r="J354" s="16"/>
      <c r="K354" s="16"/>
      <c r="L354" s="15"/>
      <c r="M354" s="17" t="str">
        <f t="shared" si="26"/>
        <v>要回答</v>
      </c>
    </row>
    <row r="355" ht="54.0" customHeight="1" outlineLevel="1">
      <c r="A355" s="16"/>
      <c r="B355" s="16"/>
      <c r="C355" s="16"/>
      <c r="D355" s="16"/>
      <c r="E355" s="16"/>
      <c r="F355" s="16"/>
      <c r="G355" s="26" t="str">
        <f>IF($M$350="✖ 回答不要","【回答不要】 ","")&amp;"該当なし"</f>
        <v>該当なし</v>
      </c>
      <c r="H355" s="14"/>
      <c r="I355" s="16"/>
      <c r="J355" s="16"/>
      <c r="K355" s="16"/>
      <c r="L355" s="15"/>
      <c r="M355" s="17" t="str">
        <f t="shared" si="26"/>
        <v>要回答</v>
      </c>
    </row>
    <row r="356" ht="54.0" customHeight="1" outlineLevel="1">
      <c r="A356" s="16"/>
      <c r="B356" s="16"/>
      <c r="C356" s="16"/>
      <c r="D356" s="16"/>
      <c r="E356" s="16"/>
      <c r="F356" s="16"/>
      <c r="G356" s="26" t="str">
        <f>IF($M$350="✖ 回答不要","【回答不要】 ","")&amp;"非公開"</f>
        <v>非公開</v>
      </c>
      <c r="H356" s="14"/>
      <c r="I356" s="16"/>
      <c r="J356" s="16"/>
      <c r="K356" s="16"/>
      <c r="L356" s="15"/>
      <c r="M356" s="17" t="str">
        <f t="shared" si="26"/>
        <v>要回答</v>
      </c>
    </row>
    <row r="357" ht="54.0" customHeight="1">
      <c r="A357" s="5"/>
      <c r="B357" s="6"/>
      <c r="C357" s="6"/>
      <c r="D357" s="6"/>
      <c r="E357" s="6"/>
      <c r="F357" s="6"/>
      <c r="G357" s="6"/>
      <c r="H357" s="6"/>
      <c r="I357" s="6"/>
      <c r="J357" s="6"/>
      <c r="K357" s="6"/>
      <c r="L357" s="6"/>
      <c r="M357" s="7"/>
    </row>
    <row r="358" ht="54.0" customHeight="1" outlineLevel="1">
      <c r="A358" s="21">
        <v>49.0</v>
      </c>
      <c r="B358" s="22" t="str">
        <f>$M$358</f>
        <v>要回答</v>
      </c>
      <c r="C358" s="23" t="s">
        <v>30</v>
      </c>
      <c r="D358" s="23" t="s">
        <v>90</v>
      </c>
      <c r="E358" s="24" t="s">
        <v>91</v>
      </c>
      <c r="F358" s="25" t="str">
        <f>IF($M$358="✖ 回答不要","【この設問は回答不要です】"&amp;CHAR(10),"")&amp;"データに関する暗号化について、実施していることをすべて選択してください。"</f>
        <v>データに関する暗号化について、実施していることをすべて選択してください。</v>
      </c>
      <c r="G358" s="26" t="str">
        <f>IF($M$358="✖ 回答不要","【回答不要】 ","")&amp;"安全性が認められたプロトコルやアルゴリズムを使用して暗号化することを定めている"</f>
        <v>安全性が認められたプロトコルやアルゴリズムを使用して暗号化することを定めている</v>
      </c>
      <c r="H358" s="14"/>
      <c r="I358" s="16"/>
      <c r="J358" s="16"/>
      <c r="K358" s="16"/>
      <c r="L358" s="15"/>
      <c r="M358" s="17" t="str">
        <f t="shared" ref="M358:M362" si="27">IF(OR($H$38="○"),"✖ 回答不要","要回答")</f>
        <v>要回答</v>
      </c>
    </row>
    <row r="359" ht="54.0" customHeight="1" outlineLevel="1">
      <c r="A359" s="16"/>
      <c r="B359" s="16"/>
      <c r="C359" s="16"/>
      <c r="D359" s="16"/>
      <c r="E359" s="16"/>
      <c r="F359" s="16"/>
      <c r="G359" s="26" t="str">
        <f>IF($M$358="✖ 回答不要","【回答不要】 ","")&amp;"安全な暗号化方式と十分な鍵長により、業務情報が格納されたデータベースやファイルを暗号化している"</f>
        <v>安全な暗号化方式と十分な鍵長により、業務情報が格納されたデータベースやファイルを暗号化している</v>
      </c>
      <c r="H359" s="14"/>
      <c r="I359" s="16"/>
      <c r="J359" s="16"/>
      <c r="K359" s="16"/>
      <c r="L359" s="15"/>
      <c r="M359" s="17" t="str">
        <f t="shared" si="27"/>
        <v>要回答</v>
      </c>
    </row>
    <row r="360" ht="54.0" customHeight="1" outlineLevel="1">
      <c r="A360" s="16"/>
      <c r="B360" s="16"/>
      <c r="C360" s="16"/>
      <c r="D360" s="16"/>
      <c r="E360" s="16"/>
      <c r="F360" s="16"/>
      <c r="G360" s="26" t="str">
        <f>IF($M$358="✖ 回答不要","【回答不要】 ","")&amp;"安全な暗号方式と十分な鍵長により、バックアップデータを暗号化している"</f>
        <v>安全な暗号方式と十分な鍵長により、バックアップデータを暗号化している</v>
      </c>
      <c r="H360" s="14"/>
      <c r="I360" s="16"/>
      <c r="J360" s="16"/>
      <c r="K360" s="16"/>
      <c r="L360" s="15"/>
      <c r="M360" s="17" t="str">
        <f t="shared" si="27"/>
        <v>要回答</v>
      </c>
    </row>
    <row r="361" ht="54.0" customHeight="1" outlineLevel="1">
      <c r="A361" s="16"/>
      <c r="B361" s="16"/>
      <c r="C361" s="16"/>
      <c r="D361" s="16"/>
      <c r="E361" s="16"/>
      <c r="F361" s="16"/>
      <c r="G361" s="26" t="str">
        <f>IF($M$358="✖ 回答不要","【回答不要】 ","")&amp;"該当なし"</f>
        <v>該当なし</v>
      </c>
      <c r="H361" s="14"/>
      <c r="I361" s="16"/>
      <c r="J361" s="16"/>
      <c r="K361" s="16"/>
      <c r="L361" s="15"/>
      <c r="M361" s="17" t="str">
        <f t="shared" si="27"/>
        <v>要回答</v>
      </c>
    </row>
    <row r="362" ht="54.0" customHeight="1" outlineLevel="1">
      <c r="A362" s="16"/>
      <c r="B362" s="16"/>
      <c r="C362" s="16"/>
      <c r="D362" s="16"/>
      <c r="E362" s="16"/>
      <c r="F362" s="16"/>
      <c r="G362" s="26" t="str">
        <f>IF($M$358="✖ 回答不要","【回答不要】 ","")&amp;"非公開"</f>
        <v>非公開</v>
      </c>
      <c r="H362" s="14"/>
      <c r="I362" s="16"/>
      <c r="J362" s="16"/>
      <c r="K362" s="16"/>
      <c r="L362" s="15"/>
      <c r="M362" s="17" t="str">
        <f t="shared" si="27"/>
        <v>要回答</v>
      </c>
    </row>
    <row r="363" ht="54.0" customHeight="1">
      <c r="A363" s="5"/>
      <c r="B363" s="6"/>
      <c r="C363" s="6"/>
      <c r="D363" s="6"/>
      <c r="E363" s="6"/>
      <c r="F363" s="6"/>
      <c r="G363" s="6"/>
      <c r="H363" s="6"/>
      <c r="I363" s="6"/>
      <c r="J363" s="6"/>
      <c r="K363" s="6"/>
      <c r="L363" s="6"/>
      <c r="M363" s="7"/>
    </row>
    <row r="364" ht="54.0" customHeight="1" outlineLevel="1">
      <c r="A364" s="21">
        <v>50.0</v>
      </c>
      <c r="B364" s="22" t="str">
        <f>$M$364</f>
        <v>要回答</v>
      </c>
      <c r="C364" s="23" t="s">
        <v>30</v>
      </c>
      <c r="D364" s="23" t="s">
        <v>92</v>
      </c>
      <c r="E364" s="24" t="s">
        <v>93</v>
      </c>
      <c r="F364" s="25" t="str">
        <f>IF($M$364="✖ 回答不要","【この設問は回答不要です】"&amp;CHAR(10),"")&amp;"オフィスの物理セキュリティ対策について、該当する選択肢をすべて選択してください。"</f>
        <v>オフィスの物理セキュリティ対策について、該当する選択肢をすべて選択してください。</v>
      </c>
      <c r="G364" s="26" t="str">
        <f>IF($M$364="✖ 回答不要","【回答不要】 ","")&amp;"オフィスへの入館および情報資産が保管されている区画への入室は承認にもとづき許可され、ICカード認証や生体認証等の認証により制御している"</f>
        <v>オフィスへの入館および情報資産が保管されている区画への入室は承認にもとづき許可され、ICカード認証や生体認証等の認証により制御している</v>
      </c>
      <c r="H364" s="14"/>
      <c r="I364" s="16"/>
      <c r="J364" s="16"/>
      <c r="K364" s="16"/>
      <c r="L364" s="15"/>
      <c r="M364" s="17" t="str">
        <f t="shared" ref="M364:M373" si="28">IF(OR($H$32="○"),"✖ 回答不要","要回答")</f>
        <v>要回答</v>
      </c>
    </row>
    <row r="365" ht="54.0" customHeight="1" outlineLevel="1">
      <c r="A365" s="16"/>
      <c r="B365" s="16"/>
      <c r="C365" s="16"/>
      <c r="D365" s="16"/>
      <c r="E365" s="16"/>
      <c r="F365" s="16"/>
      <c r="G365" s="26" t="str">
        <f>IF($M$364="✖ 回答不要","【回答不要】 ","")&amp;"入退館ログや入退室ログを定期的に確認し、不正アクセスがないか確認している"</f>
        <v>入退館ログや入退室ログを定期的に確認し、不正アクセスがないか確認している</v>
      </c>
      <c r="H365" s="14"/>
      <c r="I365" s="16"/>
      <c r="J365" s="16"/>
      <c r="K365" s="16"/>
      <c r="L365" s="15"/>
      <c r="M365" s="17" t="str">
        <f t="shared" si="28"/>
        <v>要回答</v>
      </c>
    </row>
    <row r="366" ht="54.0" customHeight="1" outlineLevel="1">
      <c r="A366" s="16"/>
      <c r="B366" s="16"/>
      <c r="C366" s="16"/>
      <c r="D366" s="16"/>
      <c r="E366" s="16"/>
      <c r="F366" s="16"/>
      <c r="G366" s="26" t="str">
        <f>IF($M$364="✖ 回答不要","【回答不要】 ","")&amp;"オフィス内の情報資産の重要性に応じて、入室制限に加えて追加の物理セキュリティ対策を定めている"</f>
        <v>オフィス内の情報資産の重要性に応じて、入室制限に加えて追加の物理セキュリティ対策を定めている</v>
      </c>
      <c r="H366" s="14"/>
      <c r="I366" s="16"/>
      <c r="J366" s="16"/>
      <c r="K366" s="16"/>
      <c r="L366" s="15"/>
      <c r="M366" s="17" t="str">
        <f t="shared" si="28"/>
        <v>要回答</v>
      </c>
    </row>
    <row r="367" ht="54.0" customHeight="1" outlineLevel="1">
      <c r="A367" s="16"/>
      <c r="B367" s="16"/>
      <c r="C367" s="16"/>
      <c r="D367" s="16"/>
      <c r="E367" s="16"/>
      <c r="F367" s="16"/>
      <c r="G367" s="27" t="str">
        <f>IF($M$364="✖ 回答不要","【回答不要】 ","")&amp;"  └ 防犯設備（監視カメラ、物理的な侵入検知システム等）の導入"</f>
        <v>  └ 防犯設備（監視カメラ、物理的な侵入検知システム等）の導入</v>
      </c>
      <c r="H367" s="14"/>
      <c r="I367" s="16"/>
      <c r="J367" s="16"/>
      <c r="K367" s="16"/>
      <c r="L367" s="20"/>
      <c r="M367" s="17" t="str">
        <f t="shared" si="28"/>
        <v>要回答</v>
      </c>
    </row>
    <row r="368" ht="54.0" customHeight="1" outlineLevel="1">
      <c r="A368" s="16"/>
      <c r="B368" s="16"/>
      <c r="C368" s="16"/>
      <c r="D368" s="16"/>
      <c r="E368" s="16"/>
      <c r="F368" s="16"/>
      <c r="G368" s="27" t="str">
        <f>IF($M$364="✖ 回答不要","【回答不要】 ","")&amp;"  └ 立会人を同行"</f>
        <v>  └ 立会人を同行</v>
      </c>
      <c r="H368" s="14"/>
      <c r="I368" s="16"/>
      <c r="J368" s="16"/>
      <c r="K368" s="16"/>
      <c r="L368" s="20"/>
      <c r="M368" s="17" t="str">
        <f t="shared" si="28"/>
        <v>要回答</v>
      </c>
    </row>
    <row r="369" ht="54.0" customHeight="1" outlineLevel="1">
      <c r="A369" s="16"/>
      <c r="B369" s="16"/>
      <c r="C369" s="16"/>
      <c r="D369" s="16"/>
      <c r="E369" s="16"/>
      <c r="F369" s="16"/>
      <c r="G369" s="27" t="str">
        <f>IF($M$364="✖ 回答不要","【回答不要】 ","")&amp;"  └ 持ち込み品および持ち出し品の制限"</f>
        <v>  └ 持ち込み品および持ち出し品の制限</v>
      </c>
      <c r="H369" s="14"/>
      <c r="I369" s="16"/>
      <c r="J369" s="16"/>
      <c r="K369" s="16"/>
      <c r="L369" s="20"/>
      <c r="M369" s="17" t="str">
        <f t="shared" si="28"/>
        <v>要回答</v>
      </c>
    </row>
    <row r="370" ht="54.0" customHeight="1" outlineLevel="1">
      <c r="A370" s="16"/>
      <c r="B370" s="16"/>
      <c r="C370" s="16"/>
      <c r="D370" s="16"/>
      <c r="E370" s="16"/>
      <c r="F370" s="16"/>
      <c r="G370" s="27" t="str">
        <f>IF($M$364="✖ 回答不要","【回答不要】 ","")&amp;"  └ その他"&amp;CHAR(10)&amp;"       [詳細*]"</f>
        <v>  └ その他
       [詳細*]</v>
      </c>
      <c r="H370" s="14"/>
      <c r="I370" s="15"/>
      <c r="J370" s="16"/>
      <c r="K370" s="16"/>
      <c r="L370" s="20"/>
      <c r="M370" s="17" t="str">
        <f t="shared" si="28"/>
        <v>要回答</v>
      </c>
    </row>
    <row r="371" ht="54.0" customHeight="1" outlineLevel="1">
      <c r="A371" s="16"/>
      <c r="B371" s="16"/>
      <c r="C371" s="16"/>
      <c r="D371" s="16"/>
      <c r="E371" s="16"/>
      <c r="F371" s="16"/>
      <c r="G371" s="26" t="str">
        <f>IF($M$364="✖ 回答不要","【回答不要】 ","")&amp;"ネットワーク機器、サーバ等の設置エリア・ラックが施錠されている"</f>
        <v>ネットワーク機器、サーバ等の設置エリア・ラックが施錠されている</v>
      </c>
      <c r="H371" s="14"/>
      <c r="I371" s="16"/>
      <c r="J371" s="16"/>
      <c r="K371" s="16"/>
      <c r="L371" s="15"/>
      <c r="M371" s="17" t="str">
        <f t="shared" si="28"/>
        <v>要回答</v>
      </c>
    </row>
    <row r="372" ht="54.0" customHeight="1" outlineLevel="1">
      <c r="A372" s="16"/>
      <c r="B372" s="16"/>
      <c r="C372" s="16"/>
      <c r="D372" s="16"/>
      <c r="E372" s="16"/>
      <c r="F372" s="16"/>
      <c r="G372" s="26" t="str">
        <f>IF($M$364="✖ 回答不要","【回答不要】 ","")&amp;"該当なし"</f>
        <v>該当なし</v>
      </c>
      <c r="H372" s="14"/>
      <c r="I372" s="16"/>
      <c r="J372" s="16"/>
      <c r="K372" s="16"/>
      <c r="L372" s="15"/>
      <c r="M372" s="17" t="str">
        <f t="shared" si="28"/>
        <v>要回答</v>
      </c>
    </row>
    <row r="373" ht="54.0" customHeight="1" outlineLevel="1">
      <c r="A373" s="16"/>
      <c r="B373" s="16"/>
      <c r="C373" s="16"/>
      <c r="D373" s="16"/>
      <c r="E373" s="16"/>
      <c r="F373" s="16"/>
      <c r="G373" s="26" t="str">
        <f>IF($M$364="✖ 回答不要","【回答不要】 ","")&amp;"非公開"</f>
        <v>非公開</v>
      </c>
      <c r="H373" s="14"/>
      <c r="I373" s="16"/>
      <c r="J373" s="16"/>
      <c r="K373" s="16"/>
      <c r="L373" s="15"/>
      <c r="M373" s="17" t="str">
        <f t="shared" si="28"/>
        <v>要回答</v>
      </c>
    </row>
    <row r="374" ht="54.0" customHeight="1" outlineLevel="1">
      <c r="A374" s="21">
        <v>51.0</v>
      </c>
      <c r="B374" s="22" t="str">
        <f>$M$374</f>
        <v>要回答</v>
      </c>
      <c r="C374" s="23" t="s">
        <v>30</v>
      </c>
      <c r="D374" s="23" t="s">
        <v>92</v>
      </c>
      <c r="E374" s="24" t="s">
        <v>94</v>
      </c>
      <c r="F374" s="25" t="str">
        <f>IF($M$374="✖ 回答不要","【この設問は回答不要です】"&amp;CHAR(10),"")&amp;"データセンターの利用形態について、該当するものをすべて選択してください。"</f>
        <v>データセンターの利用形態について、該当するものをすべて選択してください。</v>
      </c>
      <c r="G374" s="26" t="str">
        <f>IF($M$374="✖ 回答不要","【回答不要】 ","")&amp;"自社データセンターや自社内のサーバルーム"</f>
        <v>自社データセンターや自社内のサーバルーム</v>
      </c>
      <c r="H374" s="14"/>
      <c r="I374" s="16"/>
      <c r="J374" s="16"/>
      <c r="K374" s="16"/>
      <c r="L374" s="15"/>
      <c r="M374" s="17" t="str">
        <f t="shared" ref="M374:M378" si="29">IF(OR($H$38="○"),"✖ 回答不要","要回答")</f>
        <v>要回答</v>
      </c>
    </row>
    <row r="375" ht="54.0" customHeight="1" outlineLevel="1">
      <c r="A375" s="16"/>
      <c r="B375" s="16"/>
      <c r="C375" s="16"/>
      <c r="D375" s="16"/>
      <c r="E375" s="16"/>
      <c r="F375" s="16"/>
      <c r="G375" s="26" t="str">
        <f>IF($M$374="✖ 回答不要","【回答不要】 ","")&amp;"IaaS/PaaS等"</f>
        <v>IaaS/PaaS等</v>
      </c>
      <c r="H375" s="14"/>
      <c r="I375" s="16"/>
      <c r="J375" s="16"/>
      <c r="K375" s="16"/>
      <c r="L375" s="15"/>
      <c r="M375" s="17" t="str">
        <f t="shared" si="29"/>
        <v>要回答</v>
      </c>
    </row>
    <row r="376" ht="54.0" customHeight="1" outlineLevel="1">
      <c r="A376" s="16"/>
      <c r="B376" s="16"/>
      <c r="C376" s="16"/>
      <c r="D376" s="16"/>
      <c r="E376" s="16"/>
      <c r="F376" s="16"/>
      <c r="G376" s="26" t="str">
        <f>IF($M$374="✖ 回答不要","【回答不要】 ","")&amp;"他社データセンター（ハウジングやホスティング）"</f>
        <v>他社データセンター（ハウジングやホスティング）</v>
      </c>
      <c r="H376" s="14"/>
      <c r="I376" s="16"/>
      <c r="J376" s="16"/>
      <c r="K376" s="16"/>
      <c r="L376" s="15"/>
      <c r="M376" s="17" t="str">
        <f t="shared" si="29"/>
        <v>要回答</v>
      </c>
    </row>
    <row r="377" ht="54.0" customHeight="1" outlineLevel="1">
      <c r="A377" s="16"/>
      <c r="B377" s="16"/>
      <c r="C377" s="16"/>
      <c r="D377" s="16"/>
      <c r="E377" s="16"/>
      <c r="F377" s="16"/>
      <c r="G377" s="26" t="str">
        <f>IF($M$374="✖ 回答不要","【回答不要】 ","")&amp;"データセンターを利用していない"</f>
        <v>データセンターを利用していない</v>
      </c>
      <c r="H377" s="14"/>
      <c r="I377" s="16"/>
      <c r="J377" s="16"/>
      <c r="K377" s="16"/>
      <c r="L377" s="15"/>
      <c r="M377" s="17" t="str">
        <f t="shared" si="29"/>
        <v>要回答</v>
      </c>
    </row>
    <row r="378" ht="54.0" customHeight="1" outlineLevel="1">
      <c r="A378" s="16"/>
      <c r="B378" s="16"/>
      <c r="C378" s="16"/>
      <c r="D378" s="16"/>
      <c r="E378" s="16"/>
      <c r="F378" s="16"/>
      <c r="G378" s="26" t="str">
        <f>IF($M$374="✖ 回答不要","【回答不要】 ","")&amp;"非公開"</f>
        <v>非公開</v>
      </c>
      <c r="H378" s="14"/>
      <c r="I378" s="16"/>
      <c r="J378" s="16"/>
      <c r="K378" s="16"/>
      <c r="L378" s="15"/>
      <c r="M378" s="17" t="str">
        <f t="shared" si="29"/>
        <v>要回答</v>
      </c>
    </row>
    <row r="379" ht="54.0" customHeight="1" outlineLevel="1">
      <c r="A379" s="21">
        <v>52.0</v>
      </c>
      <c r="B379" s="22" t="str">
        <f>$M$379</f>
        <v>要回答</v>
      </c>
      <c r="C379" s="23" t="s">
        <v>30</v>
      </c>
      <c r="D379" s="23" t="s">
        <v>92</v>
      </c>
      <c r="E379" s="24" t="s">
        <v>95</v>
      </c>
      <c r="F379" s="25" t="str">
        <f>IF($M$379="✖ 回答不要","【この設問は回答不要です】"&amp;CHAR(10),"")&amp;"システムが稼働しているデータセンターの耐震・耐火対策について、該当する選択肢をすべて選択してください。"</f>
        <v>システムが稼働しているデータセンターの耐震・耐火対策について、該当する選択肢をすべて選択してください。</v>
      </c>
      <c r="G379" s="26" t="str">
        <f>IF($M$379="✖ 回答不要","【回答不要】 ","")&amp;"電力設備と電力ケーブルを損傷および破壊から保護している"</f>
        <v>電力設備と電力ケーブルを損傷および破壊から保護している</v>
      </c>
      <c r="H379" s="14"/>
      <c r="I379" s="16"/>
      <c r="J379" s="16"/>
      <c r="K379" s="16"/>
      <c r="L379" s="15"/>
      <c r="M379" s="17" t="str">
        <f t="shared" ref="M379:M400" si="30">IF(OR(OR($H$38="○"),$H$374="×"),"✖ 回答不要","要回答")</f>
        <v>要回答</v>
      </c>
    </row>
    <row r="380" ht="54.0" customHeight="1" outlineLevel="1">
      <c r="A380" s="16"/>
      <c r="B380" s="16"/>
      <c r="C380" s="16"/>
      <c r="D380" s="16"/>
      <c r="E380" s="16"/>
      <c r="F380" s="16"/>
      <c r="G380" s="26" t="str">
        <f>IF($M$379="✖ 回答不要","【回答不要】 ","")&amp;"主電源が失われた場合に備え非常用電源や無停電電源装置（UPS）を導入している"</f>
        <v>主電源が失われた場合に備え非常用電源や無停電電源装置（UPS）を導入している</v>
      </c>
      <c r="H380" s="14"/>
      <c r="I380" s="16"/>
      <c r="J380" s="16"/>
      <c r="K380" s="16"/>
      <c r="L380" s="15"/>
      <c r="M380" s="17" t="str">
        <f t="shared" si="30"/>
        <v>要回答</v>
      </c>
    </row>
    <row r="381" ht="54.0" customHeight="1" outlineLevel="1">
      <c r="A381" s="16"/>
      <c r="B381" s="16"/>
      <c r="C381" s="16"/>
      <c r="D381" s="16"/>
      <c r="E381" s="16"/>
      <c r="F381" s="16"/>
      <c r="G381" s="26" t="str">
        <f>IF($M$379="✖ 回答不要","【回答不要】 ","")&amp;"免震や耐震等の地震対策を導入している"</f>
        <v>免震や耐震等の地震対策を導入している</v>
      </c>
      <c r="H381" s="14"/>
      <c r="I381" s="16"/>
      <c r="J381" s="16"/>
      <c r="K381" s="16"/>
      <c r="L381" s="15"/>
      <c r="M381" s="17" t="str">
        <f t="shared" si="30"/>
        <v>要回答</v>
      </c>
    </row>
    <row r="382" ht="54.0" customHeight="1" outlineLevel="1">
      <c r="A382" s="16"/>
      <c r="B382" s="16"/>
      <c r="C382" s="16"/>
      <c r="D382" s="16"/>
      <c r="E382" s="16"/>
      <c r="F382" s="16"/>
      <c r="G382" s="26" t="str">
        <f>IF($M$379="✖ 回答不要","【回答不要】 ","")&amp;"消火および火災検知のための装置や仕組みを導入している"</f>
        <v>消火および火災検知のための装置や仕組みを導入している</v>
      </c>
      <c r="H382" s="14"/>
      <c r="I382" s="16"/>
      <c r="J382" s="16"/>
      <c r="K382" s="16"/>
      <c r="L382" s="15"/>
      <c r="M382" s="17" t="str">
        <f t="shared" si="30"/>
        <v>要回答</v>
      </c>
    </row>
    <row r="383" ht="54.0" customHeight="1" outlineLevel="1">
      <c r="A383" s="16"/>
      <c r="B383" s="16"/>
      <c r="C383" s="16"/>
      <c r="D383" s="16"/>
      <c r="E383" s="16"/>
      <c r="F383" s="16"/>
      <c r="G383" s="26" t="str">
        <f>IF($M$379="✖ 回答不要","【回答不要】 ","")&amp;"雷対策を導入している"</f>
        <v>雷対策を導入している</v>
      </c>
      <c r="H383" s="14"/>
      <c r="I383" s="16"/>
      <c r="J383" s="16"/>
      <c r="K383" s="16"/>
      <c r="L383" s="15"/>
      <c r="M383" s="17" t="str">
        <f t="shared" si="30"/>
        <v>要回答</v>
      </c>
    </row>
    <row r="384" ht="54.0" customHeight="1" outlineLevel="1">
      <c r="A384" s="16"/>
      <c r="B384" s="16"/>
      <c r="C384" s="16"/>
      <c r="D384" s="16"/>
      <c r="E384" s="16"/>
      <c r="F384" s="16"/>
      <c r="G384" s="26" t="str">
        <f>IF($M$379="✖ 回答不要","【回答不要】 ","")&amp;"温度と湿度を保つための装置や仕組みを導入している"</f>
        <v>温度と湿度を保つための装置や仕組みを導入している</v>
      </c>
      <c r="H384" s="14"/>
      <c r="I384" s="16"/>
      <c r="J384" s="16"/>
      <c r="K384" s="16"/>
      <c r="L384" s="15"/>
      <c r="M384" s="17" t="str">
        <f t="shared" si="30"/>
        <v>要回答</v>
      </c>
    </row>
    <row r="385" ht="54.0" customHeight="1" outlineLevel="1">
      <c r="A385" s="16"/>
      <c r="B385" s="16"/>
      <c r="C385" s="16"/>
      <c r="D385" s="16"/>
      <c r="E385" s="16"/>
      <c r="F385" s="16"/>
      <c r="G385" s="26" t="str">
        <f>IF($M$379="✖ 回答不要","【回答不要】 ","")&amp;"防水措置や漏水防止対策を導入している"</f>
        <v>防水措置や漏水防止対策を導入している</v>
      </c>
      <c r="H385" s="14"/>
      <c r="I385" s="16"/>
      <c r="J385" s="16"/>
      <c r="K385" s="16"/>
      <c r="L385" s="15"/>
      <c r="M385" s="17" t="str">
        <f t="shared" si="30"/>
        <v>要回答</v>
      </c>
    </row>
    <row r="386" ht="54.0" customHeight="1" outlineLevel="1">
      <c r="A386" s="16"/>
      <c r="B386" s="16"/>
      <c r="C386" s="16"/>
      <c r="D386" s="16"/>
      <c r="E386" s="16"/>
      <c r="F386" s="16"/>
      <c r="G386" s="26" t="str">
        <f>IF($M$379="✖ 回答不要","【回答不要】 ","")&amp;"代替通信サービスを確立している"</f>
        <v>代替通信サービスを確立している</v>
      </c>
      <c r="H386" s="14"/>
      <c r="I386" s="16"/>
      <c r="J386" s="16"/>
      <c r="K386" s="16"/>
      <c r="L386" s="15"/>
      <c r="M386" s="17" t="str">
        <f t="shared" si="30"/>
        <v>要回答</v>
      </c>
    </row>
    <row r="387" ht="54.0" customHeight="1" outlineLevel="1">
      <c r="A387" s="16"/>
      <c r="B387" s="16"/>
      <c r="C387" s="16"/>
      <c r="D387" s="16"/>
      <c r="E387" s="16"/>
      <c r="F387" s="16"/>
      <c r="G387" s="26" t="str">
        <f>IF($M$379="✖ 回答不要","【回答不要】 ","")&amp;"代替拠点を用意している"</f>
        <v>代替拠点を用意している</v>
      </c>
      <c r="H387" s="14"/>
      <c r="I387" s="16"/>
      <c r="J387" s="16"/>
      <c r="K387" s="16"/>
      <c r="L387" s="15"/>
      <c r="M387" s="17" t="str">
        <f t="shared" si="30"/>
        <v>要回答</v>
      </c>
    </row>
    <row r="388" ht="54.0" customHeight="1" outlineLevel="1">
      <c r="A388" s="16"/>
      <c r="B388" s="16"/>
      <c r="C388" s="16"/>
      <c r="D388" s="16"/>
      <c r="E388" s="16"/>
      <c r="F388" s="16"/>
      <c r="G388" s="26" t="str">
        <f>IF($M$379="✖ 回答不要","【回答不要】 ","")&amp;"上記の対策・設備について定期的に点検している"</f>
        <v>上記の対策・設備について定期的に点検している</v>
      </c>
      <c r="H388" s="14"/>
      <c r="I388" s="16"/>
      <c r="J388" s="16"/>
      <c r="K388" s="16"/>
      <c r="L388" s="15"/>
      <c r="M388" s="17" t="str">
        <f t="shared" si="30"/>
        <v>要回答</v>
      </c>
    </row>
    <row r="389" ht="54.0" customHeight="1" outlineLevel="1">
      <c r="A389" s="16"/>
      <c r="B389" s="16"/>
      <c r="C389" s="16"/>
      <c r="D389" s="16"/>
      <c r="E389" s="16"/>
      <c r="F389" s="16"/>
      <c r="G389" s="26" t="str">
        <f>IF($M$379="✖ 回答不要","【回答不要】 ","")&amp;"該当なし"</f>
        <v>該当なし</v>
      </c>
      <c r="H389" s="14"/>
      <c r="I389" s="16"/>
      <c r="J389" s="16"/>
      <c r="K389" s="16"/>
      <c r="L389" s="15"/>
      <c r="M389" s="17" t="str">
        <f t="shared" si="30"/>
        <v>要回答</v>
      </c>
    </row>
    <row r="390" ht="54.0" customHeight="1" outlineLevel="1">
      <c r="A390" s="16"/>
      <c r="B390" s="16"/>
      <c r="C390" s="16"/>
      <c r="D390" s="16"/>
      <c r="E390" s="16"/>
      <c r="F390" s="16"/>
      <c r="G390" s="26" t="str">
        <f>IF($M$379="✖ 回答不要","【回答不要】 ","")&amp;"非公開"</f>
        <v>非公開</v>
      </c>
      <c r="H390" s="14"/>
      <c r="I390" s="16"/>
      <c r="J390" s="16"/>
      <c r="K390" s="16"/>
      <c r="L390" s="15"/>
      <c r="M390" s="17" t="str">
        <f t="shared" si="30"/>
        <v>要回答</v>
      </c>
    </row>
    <row r="391" ht="54.0" customHeight="1" outlineLevel="1">
      <c r="A391" s="21">
        <v>53.0</v>
      </c>
      <c r="B391" s="22" t="str">
        <f>$M$391</f>
        <v>要回答</v>
      </c>
      <c r="C391" s="23" t="s">
        <v>30</v>
      </c>
      <c r="D391" s="23" t="s">
        <v>92</v>
      </c>
      <c r="E391" s="24" t="s">
        <v>96</v>
      </c>
      <c r="F391" s="25" t="str">
        <f>IF($M$391="✖ 回答不要","【この設問は回答不要です】"&amp;CHAR(10),"")&amp;"システムが稼働しているデータセンターにおける物理セキュリティ対策について、該当する選択肢をすべて選択してください。"</f>
        <v>システムが稼働しているデータセンターにおける物理セキュリティ対策について、該当する選択肢をすべて選択してください。</v>
      </c>
      <c r="G391" s="26" t="str">
        <f>IF($M$391="✖ 回答不要","【回答不要】 ","")&amp;"情報資産の重要度に基づいて、物理的セキュリティ対策の位置や強度を定めている"</f>
        <v>情報資産の重要度に基づいて、物理的セキュリティ対策の位置や強度を定めている</v>
      </c>
      <c r="H391" s="14"/>
      <c r="I391" s="16"/>
      <c r="J391" s="16"/>
      <c r="K391" s="16"/>
      <c r="L391" s="15"/>
      <c r="M391" s="17" t="str">
        <f t="shared" si="30"/>
        <v>要回答</v>
      </c>
    </row>
    <row r="392" ht="54.0" customHeight="1" outlineLevel="1">
      <c r="A392" s="16"/>
      <c r="B392" s="16"/>
      <c r="C392" s="16"/>
      <c r="D392" s="16"/>
      <c r="E392" s="16"/>
      <c r="F392" s="16"/>
      <c r="G392" s="26" t="str">
        <f>IF($M$391="✖ 回答不要","【回答不要】 ","")&amp;"データセンターへの入館および情報資産が保管されている区画への入室は承認にもとづき許可され、ICカード認証や生体認証等の認証により制御している"</f>
        <v>データセンターへの入館および情報資産が保管されている区画への入室は承認にもとづき許可され、ICカード認証や生体認証等の認証により制御している</v>
      </c>
      <c r="H392" s="14"/>
      <c r="I392" s="16"/>
      <c r="J392" s="16"/>
      <c r="K392" s="16"/>
      <c r="L392" s="15"/>
      <c r="M392" s="17" t="str">
        <f t="shared" si="30"/>
        <v>要回答</v>
      </c>
    </row>
    <row r="393" ht="54.0" customHeight="1" outlineLevel="1">
      <c r="A393" s="16"/>
      <c r="B393" s="16"/>
      <c r="C393" s="16"/>
      <c r="D393" s="16"/>
      <c r="E393" s="16"/>
      <c r="F393" s="16"/>
      <c r="G393" s="26" t="str">
        <f>IF($M$391="✖ 回答不要","【回答不要】 ","")&amp;"入退館ログおよび入退室ログを定期的に確認し、不正アクセスがないか確認している"</f>
        <v>入退館ログおよび入退室ログを定期的に確認し、不正アクセスがないか確認している</v>
      </c>
      <c r="H393" s="14"/>
      <c r="I393" s="16"/>
      <c r="J393" s="16"/>
      <c r="K393" s="16"/>
      <c r="L393" s="15"/>
      <c r="M393" s="17" t="str">
        <f t="shared" si="30"/>
        <v>要回答</v>
      </c>
    </row>
    <row r="394" ht="54.0" customHeight="1" outlineLevel="1">
      <c r="A394" s="16"/>
      <c r="B394" s="16"/>
      <c r="C394" s="16"/>
      <c r="D394" s="16"/>
      <c r="E394" s="16"/>
      <c r="F394" s="16"/>
      <c r="G394" s="26" t="str">
        <f>IF($M$391="✖ 回答不要","【回答不要】 ","")&amp;"データセンター内の情報資産の重要性に応じて、入室制限に加えて追加の物理セキュリティ対策を定めている"</f>
        <v>データセンター内の情報資産の重要性に応じて、入室制限に加えて追加の物理セキュリティ対策を定めている</v>
      </c>
      <c r="H394" s="14"/>
      <c r="I394" s="16"/>
      <c r="J394" s="16"/>
      <c r="K394" s="16"/>
      <c r="L394" s="15"/>
      <c r="M394" s="17" t="str">
        <f t="shared" si="30"/>
        <v>要回答</v>
      </c>
    </row>
    <row r="395" ht="54.0" customHeight="1" outlineLevel="1">
      <c r="A395" s="16"/>
      <c r="B395" s="16"/>
      <c r="C395" s="16"/>
      <c r="D395" s="16"/>
      <c r="E395" s="16"/>
      <c r="F395" s="16"/>
      <c r="G395" s="27" t="str">
        <f>IF($M$391="✖ 回答不要","【回答不要】 ","")&amp;"  └ 防犯設備（監視カメラ、物理的な侵入検知システム等）の導入"</f>
        <v>  └ 防犯設備（監視カメラ、物理的な侵入検知システム等）の導入</v>
      </c>
      <c r="H395" s="14"/>
      <c r="I395" s="16"/>
      <c r="J395" s="16"/>
      <c r="K395" s="16"/>
      <c r="L395" s="20"/>
      <c r="M395" s="17" t="str">
        <f t="shared" si="30"/>
        <v>要回答</v>
      </c>
    </row>
    <row r="396" ht="54.0" customHeight="1" outlineLevel="1">
      <c r="A396" s="16"/>
      <c r="B396" s="16"/>
      <c r="C396" s="16"/>
      <c r="D396" s="16"/>
      <c r="E396" s="16"/>
      <c r="F396" s="16"/>
      <c r="G396" s="27" t="str">
        <f>IF($M$391="✖ 回答不要","【回答不要】 ","")&amp;"  └ 立会人を同行"</f>
        <v>  └ 立会人を同行</v>
      </c>
      <c r="H396" s="14"/>
      <c r="I396" s="16"/>
      <c r="J396" s="16"/>
      <c r="K396" s="16"/>
      <c r="L396" s="20"/>
      <c r="M396" s="17" t="str">
        <f t="shared" si="30"/>
        <v>要回答</v>
      </c>
    </row>
    <row r="397" ht="54.0" customHeight="1" outlineLevel="1">
      <c r="A397" s="16"/>
      <c r="B397" s="16"/>
      <c r="C397" s="16"/>
      <c r="D397" s="16"/>
      <c r="E397" s="16"/>
      <c r="F397" s="16"/>
      <c r="G397" s="27" t="str">
        <f>IF($M$391="✖ 回答不要","【回答不要】 ","")&amp;"  └ 持ち込み品および持ち出し品の制限"</f>
        <v>  └ 持ち込み品および持ち出し品の制限</v>
      </c>
      <c r="H397" s="14"/>
      <c r="I397" s="16"/>
      <c r="J397" s="16"/>
      <c r="K397" s="16"/>
      <c r="L397" s="20"/>
      <c r="M397" s="17" t="str">
        <f t="shared" si="30"/>
        <v>要回答</v>
      </c>
    </row>
    <row r="398" ht="54.0" customHeight="1" outlineLevel="1">
      <c r="A398" s="16"/>
      <c r="B398" s="16"/>
      <c r="C398" s="16"/>
      <c r="D398" s="16"/>
      <c r="E398" s="16"/>
      <c r="F398" s="16"/>
      <c r="G398" s="27" t="str">
        <f>IF($M$391="✖ 回答不要","【回答不要】 ","")&amp;"  └ その他"&amp;CHAR(10)&amp;"       [詳細*]"</f>
        <v>  └ その他
       [詳細*]</v>
      </c>
      <c r="H398" s="14"/>
      <c r="I398" s="15"/>
      <c r="J398" s="16"/>
      <c r="K398" s="16"/>
      <c r="L398" s="20"/>
      <c r="M398" s="17" t="str">
        <f t="shared" si="30"/>
        <v>要回答</v>
      </c>
    </row>
    <row r="399" ht="54.0" customHeight="1" outlineLevel="1">
      <c r="A399" s="16"/>
      <c r="B399" s="16"/>
      <c r="C399" s="16"/>
      <c r="D399" s="16"/>
      <c r="E399" s="16"/>
      <c r="F399" s="16"/>
      <c r="G399" s="26" t="str">
        <f>IF($M$391="✖ 回答不要","【回答不要】 ","")&amp;"該当なし"</f>
        <v>該当なし</v>
      </c>
      <c r="H399" s="14"/>
      <c r="I399" s="16"/>
      <c r="J399" s="16"/>
      <c r="K399" s="16"/>
      <c r="L399" s="15"/>
      <c r="M399" s="17" t="str">
        <f t="shared" si="30"/>
        <v>要回答</v>
      </c>
    </row>
    <row r="400" ht="54.0" customHeight="1" outlineLevel="1">
      <c r="A400" s="16"/>
      <c r="B400" s="16"/>
      <c r="C400" s="16"/>
      <c r="D400" s="16"/>
      <c r="E400" s="16"/>
      <c r="F400" s="16"/>
      <c r="G400" s="26" t="str">
        <f>IF($M$391="✖ 回答不要","【回答不要】 ","")&amp;"非公開"</f>
        <v>非公開</v>
      </c>
      <c r="H400" s="14"/>
      <c r="I400" s="16"/>
      <c r="J400" s="16"/>
      <c r="K400" s="16"/>
      <c r="L400" s="15"/>
      <c r="M400" s="17" t="str">
        <f t="shared" si="30"/>
        <v>要回答</v>
      </c>
    </row>
    <row r="401" ht="54.0" customHeight="1" outlineLevel="1">
      <c r="A401" s="21">
        <v>54.0</v>
      </c>
      <c r="B401" s="22" t="str">
        <f>$M$401</f>
        <v>要回答</v>
      </c>
      <c r="C401" s="23" t="s">
        <v>30</v>
      </c>
      <c r="D401" s="23" t="s">
        <v>92</v>
      </c>
      <c r="E401" s="24" t="s">
        <v>97</v>
      </c>
      <c r="F401" s="25" t="str">
        <f>IF($M$401="✖ 回答不要","【この設問は回答不要です】"&amp;CHAR(10),"")&amp;"利用しているIaaS/PaaS等、そのほか自社以外のデータセンターの選定にあたり、データセンターの入退室管理や自然災害への対策等の物理的なセキュリティ対策を確認していますか。"</f>
        <v>利用しているIaaS/PaaS等、そのほか自社以外のデータセンターの選定にあたり、データセンターの入退室管理や自然災害への対策等の物理的なセキュリティ対策を確認していますか。</v>
      </c>
      <c r="G401" s="26" t="str">
        <f>IF($M$401="✖ 回答不要","【回答不要】 ","")&amp;"はい"</f>
        <v>はい</v>
      </c>
      <c r="H401" s="14"/>
      <c r="I401" s="16"/>
      <c r="J401" s="16"/>
      <c r="K401" s="16"/>
      <c r="L401" s="15"/>
      <c r="M401" s="17" t="str">
        <f t="shared" ref="M401:M403" si="31">IF(OR(OR($H$38="○"),AND($H$375="×",$H$376="×")),"✖ 回答不要","要回答")</f>
        <v>要回答</v>
      </c>
    </row>
    <row r="402" ht="54.0" customHeight="1" outlineLevel="1">
      <c r="A402" s="16"/>
      <c r="B402" s="16"/>
      <c r="C402" s="16"/>
      <c r="D402" s="16"/>
      <c r="E402" s="16"/>
      <c r="F402" s="16"/>
      <c r="G402" s="26" t="str">
        <f>IF($M$401="✖ 回答不要","【回答不要】 ","")&amp;"いいえ"</f>
        <v>いいえ</v>
      </c>
      <c r="H402" s="14"/>
      <c r="I402" s="16"/>
      <c r="J402" s="16"/>
      <c r="K402" s="16"/>
      <c r="L402" s="15"/>
      <c r="M402" s="17" t="str">
        <f t="shared" si="31"/>
        <v>要回答</v>
      </c>
    </row>
    <row r="403" ht="54.0" customHeight="1" outlineLevel="1">
      <c r="A403" s="16"/>
      <c r="B403" s="16"/>
      <c r="C403" s="16"/>
      <c r="D403" s="16"/>
      <c r="E403" s="16"/>
      <c r="F403" s="16"/>
      <c r="G403" s="26" t="str">
        <f>IF($M$401="✖ 回答不要","【回答不要】 ","")&amp;"非公開"</f>
        <v>非公開</v>
      </c>
      <c r="H403" s="14"/>
      <c r="I403" s="16"/>
      <c r="J403" s="16"/>
      <c r="K403" s="16"/>
      <c r="L403" s="15"/>
      <c r="M403" s="17" t="str">
        <f t="shared" si="31"/>
        <v>要回答</v>
      </c>
    </row>
    <row r="404" ht="54.0" customHeight="1">
      <c r="A404" s="5"/>
      <c r="B404" s="6"/>
      <c r="C404" s="6"/>
      <c r="D404" s="6"/>
      <c r="E404" s="6"/>
      <c r="F404" s="6"/>
      <c r="G404" s="6"/>
      <c r="H404" s="6"/>
      <c r="I404" s="6"/>
      <c r="J404" s="6"/>
      <c r="K404" s="6"/>
      <c r="L404" s="6"/>
      <c r="M404" s="7"/>
    </row>
    <row r="405" ht="54.0" customHeight="1" outlineLevel="1">
      <c r="A405" s="21">
        <v>55.0</v>
      </c>
      <c r="B405" s="22" t="str">
        <f>$M$405</f>
        <v>要回答</v>
      </c>
      <c r="C405" s="23" t="s">
        <v>30</v>
      </c>
      <c r="D405" s="23" t="s">
        <v>98</v>
      </c>
      <c r="E405" s="24" t="s">
        <v>99</v>
      </c>
      <c r="F405" s="25" t="str">
        <f>IF($M$405="✖ 回答不要","【この設問は回答不要です】"&amp;CHAR(10),"")&amp;"システムの保守、運用において、実施している対策をすべて選択してください。"</f>
        <v>システムの保守、運用において、実施している対策をすべて選択してください。</v>
      </c>
      <c r="G405" s="26" t="str">
        <f>IF($M$405="✖ 回答不要","【回答不要】 ","")&amp;"運用手順について、マニュアルや運用手順書のような形式で文書化している"</f>
        <v>運用手順について、マニュアルや運用手順書のような形式で文書化している</v>
      </c>
      <c r="H405" s="14"/>
      <c r="I405" s="16"/>
      <c r="J405" s="16"/>
      <c r="K405" s="16"/>
      <c r="L405" s="15"/>
      <c r="M405" s="17" t="str">
        <f t="shared" ref="M405:M468" si="32">IF(OR($H$38="○"),"✖ 回答不要","要回答")</f>
        <v>要回答</v>
      </c>
    </row>
    <row r="406" ht="54.0" customHeight="1" outlineLevel="1">
      <c r="A406" s="16"/>
      <c r="B406" s="16"/>
      <c r="C406" s="16"/>
      <c r="D406" s="16"/>
      <c r="E406" s="16"/>
      <c r="F406" s="16"/>
      <c r="G406" s="26" t="str">
        <f>IF($M$405="✖ 回答不要","【回答不要】 ","")&amp;"マニュアルや運用手順書について定期的に見直している"</f>
        <v>マニュアルや運用手順書について定期的に見直している</v>
      </c>
      <c r="H406" s="14"/>
      <c r="I406" s="16"/>
      <c r="J406" s="16"/>
      <c r="K406" s="16"/>
      <c r="L406" s="15"/>
      <c r="M406" s="17" t="str">
        <f t="shared" si="32"/>
        <v>要回答</v>
      </c>
    </row>
    <row r="407" ht="54.0" customHeight="1" outlineLevel="1">
      <c r="A407" s="16"/>
      <c r="B407" s="16"/>
      <c r="C407" s="16"/>
      <c r="D407" s="16"/>
      <c r="E407" s="16"/>
      <c r="F407" s="16"/>
      <c r="G407" s="26" t="str">
        <f>IF($M$405="✖ 回答不要","【回答不要】 ","")&amp;"保守、運用作業時の安全性を確保する対策を実施している"</f>
        <v>保守、運用作業時の安全性を確保する対策を実施している</v>
      </c>
      <c r="H407" s="14"/>
      <c r="I407" s="16"/>
      <c r="J407" s="16"/>
      <c r="K407" s="16"/>
      <c r="L407" s="15"/>
      <c r="M407" s="17" t="str">
        <f t="shared" si="32"/>
        <v>要回答</v>
      </c>
    </row>
    <row r="408" ht="54.0" customHeight="1" outlineLevel="1">
      <c r="A408" s="16"/>
      <c r="B408" s="16"/>
      <c r="C408" s="16"/>
      <c r="D408" s="16"/>
      <c r="E408" s="16"/>
      <c r="F408" s="16"/>
      <c r="G408" s="27" t="str">
        <f>IF($M$405="✖ 回答不要","【回答不要】 ","")&amp;"  └ 複数人での作業体制"</f>
        <v>  └ 複数人での作業体制</v>
      </c>
      <c r="H408" s="14"/>
      <c r="I408" s="16"/>
      <c r="J408" s="16"/>
      <c r="K408" s="16"/>
      <c r="L408" s="20"/>
      <c r="M408" s="17" t="str">
        <f t="shared" si="32"/>
        <v>要回答</v>
      </c>
    </row>
    <row r="409" ht="54.0" customHeight="1" outlineLevel="1">
      <c r="A409" s="16"/>
      <c r="B409" s="16"/>
      <c r="C409" s="16"/>
      <c r="D409" s="16"/>
      <c r="E409" s="16"/>
      <c r="F409" s="16"/>
      <c r="G409" s="27" t="str">
        <f>IF($M$405="✖ 回答不要","【回答不要】 ","")&amp;"  └ 作業計画および作業結果のチェック・承認"</f>
        <v>  └ 作業計画および作業結果のチェック・承認</v>
      </c>
      <c r="H409" s="14"/>
      <c r="I409" s="16"/>
      <c r="J409" s="16"/>
      <c r="K409" s="16"/>
      <c r="L409" s="20"/>
      <c r="M409" s="17" t="str">
        <f t="shared" si="32"/>
        <v>要回答</v>
      </c>
    </row>
    <row r="410" ht="54.0" customHeight="1" outlineLevel="1">
      <c r="A410" s="16"/>
      <c r="B410" s="16"/>
      <c r="C410" s="16"/>
      <c r="D410" s="16"/>
      <c r="E410" s="16"/>
      <c r="F410" s="16"/>
      <c r="G410" s="27" t="str">
        <f>IF($M$405="✖ 回答不要","【回答不要】 ","")&amp;"  └ その他"&amp;CHAR(10)&amp;"       [詳細*]"</f>
        <v>  └ その他
       [詳細*]</v>
      </c>
      <c r="H410" s="14"/>
      <c r="I410" s="15"/>
      <c r="J410" s="16"/>
      <c r="K410" s="16"/>
      <c r="L410" s="20"/>
      <c r="M410" s="17" t="str">
        <f t="shared" si="32"/>
        <v>要回答</v>
      </c>
    </row>
    <row r="411" ht="54.0" customHeight="1" outlineLevel="1">
      <c r="A411" s="16"/>
      <c r="B411" s="16"/>
      <c r="C411" s="16"/>
      <c r="D411" s="16"/>
      <c r="E411" s="16"/>
      <c r="F411" s="16"/>
      <c r="G411" s="26" t="str">
        <f>IF($M$405="✖ 回答不要","【回答不要】 ","")&amp;"その他"&amp;CHAR(10)&amp;"   └ [詳細*]"</f>
        <v>その他
   └ [詳細*]</v>
      </c>
      <c r="H411" s="14"/>
      <c r="I411" s="15"/>
      <c r="J411" s="16"/>
      <c r="K411" s="16"/>
      <c r="L411" s="15"/>
      <c r="M411" s="17" t="str">
        <f t="shared" si="32"/>
        <v>要回答</v>
      </c>
    </row>
    <row r="412" ht="54.0" customHeight="1" outlineLevel="1">
      <c r="A412" s="16"/>
      <c r="B412" s="16"/>
      <c r="C412" s="16"/>
      <c r="D412" s="16"/>
      <c r="E412" s="16"/>
      <c r="F412" s="16"/>
      <c r="G412" s="26" t="str">
        <f>IF($M$405="✖ 回答不要","【回答不要】 ","")&amp;"該当なし"</f>
        <v>該当なし</v>
      </c>
      <c r="H412" s="14"/>
      <c r="I412" s="16"/>
      <c r="J412" s="16"/>
      <c r="K412" s="16"/>
      <c r="L412" s="15"/>
      <c r="M412" s="17" t="str">
        <f t="shared" si="32"/>
        <v>要回答</v>
      </c>
    </row>
    <row r="413" ht="54.0" customHeight="1" outlineLevel="1">
      <c r="A413" s="16"/>
      <c r="B413" s="16"/>
      <c r="C413" s="16"/>
      <c r="D413" s="16"/>
      <c r="E413" s="16"/>
      <c r="F413" s="16"/>
      <c r="G413" s="26" t="str">
        <f>IF($M$405="✖ 回答不要","【回答不要】 ","")&amp;"非公開"</f>
        <v>非公開</v>
      </c>
      <c r="H413" s="14"/>
      <c r="I413" s="16"/>
      <c r="J413" s="16"/>
      <c r="K413" s="16"/>
      <c r="L413" s="15"/>
      <c r="M413" s="17" t="str">
        <f t="shared" si="32"/>
        <v>要回答</v>
      </c>
    </row>
    <row r="414" ht="54.0" customHeight="1" outlineLevel="1">
      <c r="A414" s="21">
        <v>56.0</v>
      </c>
      <c r="B414" s="22" t="str">
        <f>$M$414</f>
        <v>要回答</v>
      </c>
      <c r="C414" s="23" t="s">
        <v>30</v>
      </c>
      <c r="D414" s="23" t="s">
        <v>98</v>
      </c>
      <c r="E414" s="24" t="s">
        <v>100</v>
      </c>
      <c r="F414" s="25" t="str">
        <f>IF($M$414="✖ 回答不要","【この設問は回答不要です】"&amp;CHAR(10),"")&amp;"バックアップやリストアテストについて、該当する選択肢をすべて選択してください。"</f>
        <v>バックアップやリストアテストについて、該当する選択肢をすべて選択してください。</v>
      </c>
      <c r="G414" s="26" t="str">
        <f>IF($M$414="✖ 回答不要","【回答不要】 ","")&amp;"バックアップを取得している"&amp;CHAR(10)&amp;"   └ [世代* / 頻度*]"</f>
        <v>バックアップを取得している
   └ [世代* / 頻度*]</v>
      </c>
      <c r="H414" s="14"/>
      <c r="I414" s="15"/>
      <c r="J414" s="15"/>
      <c r="K414" s="16"/>
      <c r="L414" s="15"/>
      <c r="M414" s="17" t="str">
        <f t="shared" si="32"/>
        <v>要回答</v>
      </c>
    </row>
    <row r="415" ht="54.0" customHeight="1" outlineLevel="1">
      <c r="A415" s="16"/>
      <c r="B415" s="16"/>
      <c r="C415" s="16"/>
      <c r="D415" s="16"/>
      <c r="E415" s="16"/>
      <c r="F415" s="16"/>
      <c r="G415" s="26" t="str">
        <f>IF($M$414="✖ 回答不要","【回答不要】 ","")&amp;"バックアップデータの隔離と保護を実施している"</f>
        <v>バックアップデータの隔離と保護を実施している</v>
      </c>
      <c r="H415" s="14"/>
      <c r="I415" s="16"/>
      <c r="J415" s="16"/>
      <c r="K415" s="16"/>
      <c r="L415" s="15"/>
      <c r="M415" s="17" t="str">
        <f t="shared" si="32"/>
        <v>要回答</v>
      </c>
    </row>
    <row r="416" ht="54.0" customHeight="1" outlineLevel="1">
      <c r="A416" s="16"/>
      <c r="B416" s="16"/>
      <c r="C416" s="16"/>
      <c r="D416" s="16"/>
      <c r="E416" s="16"/>
      <c r="F416" s="16"/>
      <c r="G416" s="27" t="str">
        <f>IF($M$414="✖ 回答不要","【回答不要】 ","")&amp;"  └ 上書き禁止"</f>
        <v>  └ 上書き禁止</v>
      </c>
      <c r="H416" s="14"/>
      <c r="I416" s="16"/>
      <c r="J416" s="16"/>
      <c r="K416" s="16"/>
      <c r="L416" s="20"/>
      <c r="M416" s="17" t="str">
        <f t="shared" si="32"/>
        <v>要回答</v>
      </c>
    </row>
    <row r="417" ht="54.0" customHeight="1" outlineLevel="1">
      <c r="A417" s="16"/>
      <c r="B417" s="16"/>
      <c r="C417" s="16"/>
      <c r="D417" s="16"/>
      <c r="E417" s="16"/>
      <c r="F417" s="16"/>
      <c r="G417" s="27" t="str">
        <f>IF($M$414="✖ 回答不要","【回答不要】 ","")&amp;"  └ 遠隔地保管"</f>
        <v>  └ 遠隔地保管</v>
      </c>
      <c r="H417" s="14"/>
      <c r="I417" s="16"/>
      <c r="J417" s="16"/>
      <c r="K417" s="16"/>
      <c r="L417" s="20"/>
      <c r="M417" s="17" t="str">
        <f t="shared" si="32"/>
        <v>要回答</v>
      </c>
    </row>
    <row r="418" ht="54.0" customHeight="1" outlineLevel="1">
      <c r="A418" s="16"/>
      <c r="B418" s="16"/>
      <c r="C418" s="16"/>
      <c r="D418" s="16"/>
      <c r="E418" s="16"/>
      <c r="F418" s="16"/>
      <c r="G418" s="27" t="str">
        <f>IF($M$414="✖ 回答不要","【回答不要】 ","")&amp;"  └ その他"&amp;CHAR(10)&amp;"       [詳細*]"</f>
        <v>  └ その他
       [詳細*]</v>
      </c>
      <c r="H418" s="14"/>
      <c r="I418" s="15"/>
      <c r="J418" s="16"/>
      <c r="K418" s="16"/>
      <c r="L418" s="20"/>
      <c r="M418" s="17" t="str">
        <f t="shared" si="32"/>
        <v>要回答</v>
      </c>
    </row>
    <row r="419" ht="54.0" customHeight="1" outlineLevel="1">
      <c r="A419" s="16"/>
      <c r="B419" s="16"/>
      <c r="C419" s="16"/>
      <c r="D419" s="16"/>
      <c r="E419" s="16"/>
      <c r="F419" s="16"/>
      <c r="G419" s="26" t="str">
        <f>IF($M$414="✖ 回答不要","【回答不要】 ","")&amp;"リストアテストを定期的に実施している"&amp;CHAR(10)&amp;"   └ [頻度* / 最終実施年月*]"</f>
        <v>リストアテストを定期的に実施している
   └ [頻度* / 最終実施年月*]</v>
      </c>
      <c r="H419" s="14"/>
      <c r="I419" s="15"/>
      <c r="J419" s="15"/>
      <c r="K419" s="16"/>
      <c r="L419" s="15"/>
      <c r="M419" s="17" t="str">
        <f t="shared" si="32"/>
        <v>要回答</v>
      </c>
    </row>
    <row r="420" ht="54.0" customHeight="1" outlineLevel="1">
      <c r="A420" s="16"/>
      <c r="B420" s="16"/>
      <c r="C420" s="16"/>
      <c r="D420" s="16"/>
      <c r="E420" s="16"/>
      <c r="F420" s="16"/>
      <c r="G420" s="26" t="str">
        <f>IF($M$414="✖ 回答不要","【回答不要】 ","")&amp;"該当なし"</f>
        <v>該当なし</v>
      </c>
      <c r="H420" s="14"/>
      <c r="I420" s="16"/>
      <c r="J420" s="16"/>
      <c r="K420" s="16"/>
      <c r="L420" s="15"/>
      <c r="M420" s="17" t="str">
        <f t="shared" si="32"/>
        <v>要回答</v>
      </c>
    </row>
    <row r="421" ht="54.0" customHeight="1" outlineLevel="1">
      <c r="A421" s="16"/>
      <c r="B421" s="16"/>
      <c r="C421" s="16"/>
      <c r="D421" s="16"/>
      <c r="E421" s="16"/>
      <c r="F421" s="16"/>
      <c r="G421" s="26" t="str">
        <f>IF($M$414="✖ 回答不要","【回答不要】 ","")&amp;"非公開"</f>
        <v>非公開</v>
      </c>
      <c r="H421" s="14"/>
      <c r="I421" s="16"/>
      <c r="J421" s="16"/>
      <c r="K421" s="16"/>
      <c r="L421" s="15"/>
      <c r="M421" s="17" t="str">
        <f t="shared" si="32"/>
        <v>要回答</v>
      </c>
    </row>
    <row r="422" ht="54.0" customHeight="1" outlineLevel="1">
      <c r="A422" s="21">
        <v>57.0</v>
      </c>
      <c r="B422" s="22" t="str">
        <f>$M$422</f>
        <v>要回答</v>
      </c>
      <c r="C422" s="23" t="s">
        <v>30</v>
      </c>
      <c r="D422" s="23" t="s">
        <v>98</v>
      </c>
      <c r="E422" s="24" t="s">
        <v>101</v>
      </c>
      <c r="F422" s="25" t="str">
        <f>IF($M$422="✖ 回答不要","【この設問は回答不要です】"&amp;CHAR(10),"")&amp;"取得しているログについて、該当する選択肢をすべて選択してください。"</f>
        <v>取得しているログについて、該当する選択肢をすべて選択してください。</v>
      </c>
      <c r="G422" s="26" t="str">
        <f>IF($M$422="✖ 回答不要","【回答不要】 ","")&amp;"例外処理や誤操作によるエラー、システム障害、セキュリティインシデントに関するイベントログ"</f>
        <v>例外処理や誤操作によるエラー、システム障害、セキュリティインシデントに関するイベントログ</v>
      </c>
      <c r="H422" s="14"/>
      <c r="I422" s="16"/>
      <c r="J422" s="16"/>
      <c r="K422" s="16"/>
      <c r="L422" s="15"/>
      <c r="M422" s="17" t="str">
        <f t="shared" si="32"/>
        <v>要回答</v>
      </c>
    </row>
    <row r="423" ht="54.0" customHeight="1" outlineLevel="1">
      <c r="A423" s="16"/>
      <c r="B423" s="16"/>
      <c r="C423" s="16"/>
      <c r="D423" s="16"/>
      <c r="E423" s="16"/>
      <c r="F423" s="16"/>
      <c r="G423" s="27" t="str">
        <f>IF($M$422="✖ 回答不要","【回答不要】 ","")&amp;"  └ アプリケーションのログ"&amp;CHAR(10)&amp;"       [保管期間*]"</f>
        <v>  └ アプリケーションのログ
       [保管期間*]</v>
      </c>
      <c r="H423" s="14"/>
      <c r="I423" s="15"/>
      <c r="J423" s="16"/>
      <c r="K423" s="16"/>
      <c r="L423" s="20"/>
      <c r="M423" s="17" t="str">
        <f t="shared" si="32"/>
        <v>要回答</v>
      </c>
    </row>
    <row r="424" ht="54.0" customHeight="1" outlineLevel="1">
      <c r="A424" s="16"/>
      <c r="B424" s="16"/>
      <c r="C424" s="16"/>
      <c r="D424" s="16"/>
      <c r="E424" s="16"/>
      <c r="F424" s="16"/>
      <c r="G424" s="27" t="str">
        <f>IF($M$422="✖ 回答不要","【回答不要】 ","")&amp;"  └ インフラ（ネットワークやIaaS環境等）のログ"&amp;CHAR(10)&amp;"       [保管期間*]"</f>
        <v>  └ インフラ（ネットワークやIaaS環境等）のログ
       [保管期間*]</v>
      </c>
      <c r="H424" s="14"/>
      <c r="I424" s="15"/>
      <c r="J424" s="16"/>
      <c r="K424" s="16"/>
      <c r="L424" s="20"/>
      <c r="M424" s="17" t="str">
        <f t="shared" si="32"/>
        <v>要回答</v>
      </c>
    </row>
    <row r="425" ht="54.0" customHeight="1" outlineLevel="1">
      <c r="A425" s="16"/>
      <c r="B425" s="16"/>
      <c r="C425" s="16"/>
      <c r="D425" s="16"/>
      <c r="E425" s="16"/>
      <c r="F425" s="16"/>
      <c r="G425" s="27" t="str">
        <f>IF($M$422="✖ 回答不要","【回答不要】 ","")&amp;"  └ その他"&amp;CHAR(10)&amp;"       [詳細*]"</f>
        <v>  └ その他
       [詳細*]</v>
      </c>
      <c r="H425" s="14"/>
      <c r="I425" s="15"/>
      <c r="J425" s="16"/>
      <c r="K425" s="16"/>
      <c r="L425" s="20"/>
      <c r="M425" s="17" t="str">
        <f t="shared" si="32"/>
        <v>要回答</v>
      </c>
    </row>
    <row r="426" ht="54.0" customHeight="1" outlineLevel="1">
      <c r="A426" s="16"/>
      <c r="B426" s="16"/>
      <c r="C426" s="16"/>
      <c r="D426" s="16"/>
      <c r="E426" s="16"/>
      <c r="F426" s="16"/>
      <c r="G426" s="26" t="str">
        <f>IF($M$422="✖ 回答不要","【回答不要】 ","")&amp;"ユーザーアカウントの認証ログやアクセスログ、操作ログ"&amp;CHAR(10)&amp;"   └ [保管期間*]"</f>
        <v>ユーザーアカウントの認証ログやアクセスログ、操作ログ
   └ [保管期間*]</v>
      </c>
      <c r="H426" s="14"/>
      <c r="I426" s="15"/>
      <c r="J426" s="16"/>
      <c r="K426" s="16"/>
      <c r="L426" s="15"/>
      <c r="M426" s="17" t="str">
        <f t="shared" si="32"/>
        <v>要回答</v>
      </c>
    </row>
    <row r="427" ht="54.0" customHeight="1" outlineLevel="1">
      <c r="A427" s="16"/>
      <c r="B427" s="16"/>
      <c r="C427" s="16"/>
      <c r="D427" s="16"/>
      <c r="E427" s="16"/>
      <c r="F427" s="16"/>
      <c r="G427" s="26" t="str">
        <f>IF($M$422="✖ 回答不要","【回答不要】 ","")&amp;"管理者アカウントの認証ログやアクセスログ、操作ログ"&amp;CHAR(10)&amp;"   └ [保管期間*]"</f>
        <v>管理者アカウントの認証ログやアクセスログ、操作ログ
   └ [保管期間*]</v>
      </c>
      <c r="H427" s="14"/>
      <c r="I427" s="15"/>
      <c r="J427" s="16"/>
      <c r="K427" s="16"/>
      <c r="L427" s="15"/>
      <c r="M427" s="17" t="str">
        <f t="shared" si="32"/>
        <v>要回答</v>
      </c>
    </row>
    <row r="428" ht="54.0" customHeight="1" outlineLevel="1">
      <c r="A428" s="16"/>
      <c r="B428" s="16"/>
      <c r="C428" s="16"/>
      <c r="D428" s="16"/>
      <c r="E428" s="16"/>
      <c r="F428" s="16"/>
      <c r="G428" s="26" t="str">
        <f>IF($M$422="✖ 回答不要","【回答不要】 ","")&amp;"該当なし"</f>
        <v>該当なし</v>
      </c>
      <c r="H428" s="14"/>
      <c r="I428" s="16"/>
      <c r="J428" s="16"/>
      <c r="K428" s="16"/>
      <c r="L428" s="15"/>
      <c r="M428" s="17" t="str">
        <f t="shared" si="32"/>
        <v>要回答</v>
      </c>
    </row>
    <row r="429" ht="54.0" customHeight="1" outlineLevel="1">
      <c r="A429" s="16"/>
      <c r="B429" s="16"/>
      <c r="C429" s="16"/>
      <c r="D429" s="16"/>
      <c r="E429" s="16"/>
      <c r="F429" s="16"/>
      <c r="G429" s="26" t="str">
        <f>IF($M$422="✖ 回答不要","【回答不要】 ","")&amp;"非公開"</f>
        <v>非公開</v>
      </c>
      <c r="H429" s="14"/>
      <c r="I429" s="16"/>
      <c r="J429" s="16"/>
      <c r="K429" s="16"/>
      <c r="L429" s="15"/>
      <c r="M429" s="17" t="str">
        <f t="shared" si="32"/>
        <v>要回答</v>
      </c>
    </row>
    <row r="430" ht="54.0" customHeight="1" outlineLevel="1">
      <c r="A430" s="21">
        <v>58.0</v>
      </c>
      <c r="B430" s="22" t="str">
        <f>$M$430</f>
        <v>要回答</v>
      </c>
      <c r="C430" s="23" t="s">
        <v>30</v>
      </c>
      <c r="D430" s="23" t="s">
        <v>98</v>
      </c>
      <c r="E430" s="24" t="s">
        <v>102</v>
      </c>
      <c r="F430" s="25" t="str">
        <f>IF($M$430="✖ 回答不要","【この設問は回答不要です】"&amp;CHAR(10),"")&amp;"脆弱性診断やペネトレーションテストについて、該当する選択肢をすべて選択してください。"</f>
        <v>脆弱性診断やペネトレーションテストについて、該当する選択肢をすべて選択してください。</v>
      </c>
      <c r="G430" s="26" t="str">
        <f>IF($M$430="✖ 回答不要","【回答不要】 ","")&amp;"プラットフォーム（OS、ミドルウェアやネットワーク）に対する脆弱性診断を実施している"&amp;CHAR(10)&amp;"   └ [最終実施年月*]"</f>
        <v>プラットフォーム（OS、ミドルウェアやネットワーク）に対する脆弱性診断を実施している
   └ [最終実施年月*]</v>
      </c>
      <c r="H430" s="14"/>
      <c r="I430" s="15"/>
      <c r="J430" s="16"/>
      <c r="K430" s="16"/>
      <c r="L430" s="15"/>
      <c r="M430" s="17" t="str">
        <f t="shared" si="32"/>
        <v>要回答</v>
      </c>
    </row>
    <row r="431" ht="54.0" customHeight="1" outlineLevel="1">
      <c r="A431" s="16"/>
      <c r="B431" s="16"/>
      <c r="C431" s="16"/>
      <c r="D431" s="16"/>
      <c r="E431" s="16"/>
      <c r="F431" s="16"/>
      <c r="G431" s="27" t="str">
        <f>IF($M$430="✖ 回答不要","【回答不要】 ","")&amp;"  └ 定期的に実施"</f>
        <v>  └ 定期的に実施</v>
      </c>
      <c r="H431" s="14"/>
      <c r="I431" s="16"/>
      <c r="J431" s="16"/>
      <c r="K431" s="16"/>
      <c r="L431" s="20"/>
      <c r="M431" s="17" t="str">
        <f t="shared" si="32"/>
        <v>要回答</v>
      </c>
    </row>
    <row r="432" ht="54.0" customHeight="1" outlineLevel="1">
      <c r="A432" s="16"/>
      <c r="B432" s="16"/>
      <c r="C432" s="16"/>
      <c r="D432" s="16"/>
      <c r="E432" s="16"/>
      <c r="F432" s="16"/>
      <c r="G432" s="27" t="str">
        <f>IF($M$430="✖ 回答不要","【回答不要】 ","")&amp;"  └ 不定期に実施"</f>
        <v>  └ 不定期に実施</v>
      </c>
      <c r="H432" s="14"/>
      <c r="I432" s="16"/>
      <c r="J432" s="16"/>
      <c r="K432" s="16"/>
      <c r="L432" s="20"/>
      <c r="M432" s="17" t="str">
        <f t="shared" si="32"/>
        <v>要回答</v>
      </c>
    </row>
    <row r="433" ht="54.0" customHeight="1" outlineLevel="1">
      <c r="A433" s="16"/>
      <c r="B433" s="16"/>
      <c r="C433" s="16"/>
      <c r="D433" s="16"/>
      <c r="E433" s="16"/>
      <c r="F433" s="16"/>
      <c r="G433" s="27" t="str">
        <f>IF($M$430="✖ 回答不要","【回答不要】 ","")&amp;"  └ 最終実施年月"</f>
        <v>  └ 最終実施年月</v>
      </c>
      <c r="H433" s="14"/>
      <c r="I433" s="16"/>
      <c r="J433" s="16"/>
      <c r="K433" s="16"/>
      <c r="L433" s="20"/>
      <c r="M433" s="17" t="str">
        <f t="shared" si="32"/>
        <v>要回答</v>
      </c>
    </row>
    <row r="434" ht="54.0" customHeight="1" outlineLevel="1">
      <c r="A434" s="16"/>
      <c r="B434" s="16"/>
      <c r="C434" s="16"/>
      <c r="D434" s="16"/>
      <c r="E434" s="16"/>
      <c r="F434" s="16"/>
      <c r="G434" s="26" t="str">
        <f>IF($M$430="✖ 回答不要","【回答不要】 ","")&amp;"設定診断（セキュリティポスチャーアセスメント）を実施している"&amp;CHAR(10)&amp;"   └ [最終実施年月*]"</f>
        <v>設定診断（セキュリティポスチャーアセスメント）を実施している
   └ [最終実施年月*]</v>
      </c>
      <c r="H434" s="14"/>
      <c r="I434" s="15"/>
      <c r="J434" s="16"/>
      <c r="K434" s="16"/>
      <c r="L434" s="15"/>
      <c r="M434" s="17" t="str">
        <f t="shared" si="32"/>
        <v>要回答</v>
      </c>
    </row>
    <row r="435" ht="54.0" customHeight="1" outlineLevel="1">
      <c r="A435" s="16"/>
      <c r="B435" s="16"/>
      <c r="C435" s="16"/>
      <c r="D435" s="16"/>
      <c r="E435" s="16"/>
      <c r="F435" s="16"/>
      <c r="G435" s="27" t="str">
        <f>IF($M$430="✖ 回答不要","【回答不要】 ","")&amp;"  └ 定期的に実施"</f>
        <v>  └ 定期的に実施</v>
      </c>
      <c r="H435" s="14"/>
      <c r="I435" s="16"/>
      <c r="J435" s="16"/>
      <c r="K435" s="16"/>
      <c r="L435" s="20"/>
      <c r="M435" s="17" t="str">
        <f t="shared" si="32"/>
        <v>要回答</v>
      </c>
    </row>
    <row r="436" ht="54.0" customHeight="1" outlineLevel="1">
      <c r="A436" s="16"/>
      <c r="B436" s="16"/>
      <c r="C436" s="16"/>
      <c r="D436" s="16"/>
      <c r="E436" s="16"/>
      <c r="F436" s="16"/>
      <c r="G436" s="27" t="str">
        <f>IF($M$430="✖ 回答不要","【回答不要】 ","")&amp;"  └ 不定期に実施"</f>
        <v>  └ 不定期に実施</v>
      </c>
      <c r="H436" s="14"/>
      <c r="I436" s="16"/>
      <c r="J436" s="16"/>
      <c r="K436" s="16"/>
      <c r="L436" s="20"/>
      <c r="M436" s="17" t="str">
        <f t="shared" si="32"/>
        <v>要回答</v>
      </c>
    </row>
    <row r="437" ht="54.0" customHeight="1" outlineLevel="1">
      <c r="A437" s="16"/>
      <c r="B437" s="16"/>
      <c r="C437" s="16"/>
      <c r="D437" s="16"/>
      <c r="E437" s="16"/>
      <c r="F437" s="16"/>
      <c r="G437" s="27" t="str">
        <f>IF($M$430="✖ 回答不要","【回答不要】 ","")&amp;"  └ 最終実施年月"</f>
        <v>  └ 最終実施年月</v>
      </c>
      <c r="H437" s="14"/>
      <c r="I437" s="16"/>
      <c r="J437" s="16"/>
      <c r="K437" s="16"/>
      <c r="L437" s="20"/>
      <c r="M437" s="17" t="str">
        <f t="shared" si="32"/>
        <v>要回答</v>
      </c>
    </row>
    <row r="438" ht="54.0" customHeight="1" outlineLevel="1">
      <c r="A438" s="16"/>
      <c r="B438" s="16"/>
      <c r="C438" s="16"/>
      <c r="D438" s="16"/>
      <c r="E438" s="16"/>
      <c r="F438" s="16"/>
      <c r="G438" s="26" t="str">
        <f>IF($M$430="✖ 回答不要","【回答不要】 ","")&amp;"アプリケーションに対して脆弱性診断を実施している"&amp;CHAR(10)&amp;"   └ [最終実施年月*]"</f>
        <v>アプリケーションに対して脆弱性診断を実施している
   └ [最終実施年月*]</v>
      </c>
      <c r="H438" s="14"/>
      <c r="I438" s="15"/>
      <c r="J438" s="16"/>
      <c r="K438" s="16"/>
      <c r="L438" s="15"/>
      <c r="M438" s="17" t="str">
        <f t="shared" si="32"/>
        <v>要回答</v>
      </c>
    </row>
    <row r="439" ht="54.0" customHeight="1" outlineLevel="1">
      <c r="A439" s="16"/>
      <c r="B439" s="16"/>
      <c r="C439" s="16"/>
      <c r="D439" s="16"/>
      <c r="E439" s="16"/>
      <c r="F439" s="16"/>
      <c r="G439" s="27" t="str">
        <f>IF($M$430="✖ 回答不要","【回答不要】 ","")&amp;"  └ 定期的に実施"</f>
        <v>  └ 定期的に実施</v>
      </c>
      <c r="H439" s="14"/>
      <c r="I439" s="16"/>
      <c r="J439" s="16"/>
      <c r="K439" s="16"/>
      <c r="L439" s="20"/>
      <c r="M439" s="17" t="str">
        <f t="shared" si="32"/>
        <v>要回答</v>
      </c>
    </row>
    <row r="440" ht="54.0" customHeight="1" outlineLevel="1">
      <c r="A440" s="16"/>
      <c r="B440" s="16"/>
      <c r="C440" s="16"/>
      <c r="D440" s="16"/>
      <c r="E440" s="16"/>
      <c r="F440" s="16"/>
      <c r="G440" s="27" t="str">
        <f>IF($M$430="✖ 回答不要","【回答不要】 ","")&amp;"  └ 不定期に実施"</f>
        <v>  └ 不定期に実施</v>
      </c>
      <c r="H440" s="14"/>
      <c r="I440" s="16"/>
      <c r="J440" s="16"/>
      <c r="K440" s="16"/>
      <c r="L440" s="20"/>
      <c r="M440" s="17" t="str">
        <f t="shared" si="32"/>
        <v>要回答</v>
      </c>
    </row>
    <row r="441" ht="54.0" customHeight="1" outlineLevel="1">
      <c r="A441" s="16"/>
      <c r="B441" s="16"/>
      <c r="C441" s="16"/>
      <c r="D441" s="16"/>
      <c r="E441" s="16"/>
      <c r="F441" s="16"/>
      <c r="G441" s="27" t="str">
        <f>IF($M$430="✖ 回答不要","【回答不要】 ","")&amp;"  └ 最終実施年月"</f>
        <v>  └ 最終実施年月</v>
      </c>
      <c r="H441" s="14"/>
      <c r="I441" s="16"/>
      <c r="J441" s="16"/>
      <c r="K441" s="16"/>
      <c r="L441" s="20"/>
      <c r="M441" s="17" t="str">
        <f t="shared" si="32"/>
        <v>要回答</v>
      </c>
    </row>
    <row r="442" ht="54.0" customHeight="1" outlineLevel="1">
      <c r="A442" s="16"/>
      <c r="B442" s="16"/>
      <c r="C442" s="16"/>
      <c r="D442" s="16"/>
      <c r="E442" s="16"/>
      <c r="F442" s="16"/>
      <c r="G442" s="27" t="str">
        <f>IF($M$430="✖ 回答不要","【回答不要】 ","")&amp;"  └ Webアプリケーション全体"</f>
        <v>  └ Webアプリケーション全体</v>
      </c>
      <c r="H442" s="14"/>
      <c r="I442" s="16"/>
      <c r="J442" s="16"/>
      <c r="K442" s="16"/>
      <c r="L442" s="20"/>
      <c r="M442" s="17" t="str">
        <f t="shared" si="32"/>
        <v>要回答</v>
      </c>
    </row>
    <row r="443" ht="54.0" customHeight="1" outlineLevel="1">
      <c r="A443" s="16"/>
      <c r="B443" s="16"/>
      <c r="C443" s="16"/>
      <c r="D443" s="16"/>
      <c r="E443" s="16"/>
      <c r="F443" s="16"/>
      <c r="G443" s="27" t="str">
        <f>IF($M$430="✖ 回答不要","【回答不要】 ","")&amp;"  └ API、特定機能や画面等に限定"</f>
        <v>  └ API、特定機能や画面等に限定</v>
      </c>
      <c r="H443" s="14"/>
      <c r="I443" s="16"/>
      <c r="J443" s="16"/>
      <c r="K443" s="16"/>
      <c r="L443" s="20"/>
      <c r="M443" s="17" t="str">
        <f t="shared" si="32"/>
        <v>要回答</v>
      </c>
    </row>
    <row r="444" ht="54.0" customHeight="1" outlineLevel="1">
      <c r="A444" s="16"/>
      <c r="B444" s="16"/>
      <c r="C444" s="16"/>
      <c r="D444" s="16"/>
      <c r="E444" s="16"/>
      <c r="F444" s="16"/>
      <c r="G444" s="26" t="str">
        <f>IF($M$430="✖ 回答不要","【回答不要】 ","")&amp;"システムに対して第三者によるペネトレーションテストを実施している"&amp;CHAR(10)&amp;"   └ [最終実施年月*]"</f>
        <v>システムに対して第三者によるペネトレーションテストを実施している
   └ [最終実施年月*]</v>
      </c>
      <c r="H444" s="14"/>
      <c r="I444" s="15"/>
      <c r="J444" s="16"/>
      <c r="K444" s="16"/>
      <c r="L444" s="15"/>
      <c r="M444" s="17" t="str">
        <f t="shared" si="32"/>
        <v>要回答</v>
      </c>
    </row>
    <row r="445" ht="54.0" customHeight="1" outlineLevel="1">
      <c r="A445" s="16"/>
      <c r="B445" s="16"/>
      <c r="C445" s="16"/>
      <c r="D445" s="16"/>
      <c r="E445" s="16"/>
      <c r="F445" s="16"/>
      <c r="G445" s="27" t="str">
        <f>IF($M$430="✖ 回答不要","【回答不要】 ","")&amp;"  └ 定期的に実施"</f>
        <v>  └ 定期的に実施</v>
      </c>
      <c r="H445" s="14"/>
      <c r="I445" s="16"/>
      <c r="J445" s="16"/>
      <c r="K445" s="16"/>
      <c r="L445" s="20"/>
      <c r="M445" s="17" t="str">
        <f t="shared" si="32"/>
        <v>要回答</v>
      </c>
    </row>
    <row r="446" ht="54.0" customHeight="1" outlineLevel="1">
      <c r="A446" s="16"/>
      <c r="B446" s="16"/>
      <c r="C446" s="16"/>
      <c r="D446" s="16"/>
      <c r="E446" s="16"/>
      <c r="F446" s="16"/>
      <c r="G446" s="27" t="str">
        <f>IF($M$430="✖ 回答不要","【回答不要】 ","")&amp;"  └ 不定期に実施"</f>
        <v>  └ 不定期に実施</v>
      </c>
      <c r="H446" s="14"/>
      <c r="I446" s="16"/>
      <c r="J446" s="16"/>
      <c r="K446" s="16"/>
      <c r="L446" s="20"/>
      <c r="M446" s="17" t="str">
        <f t="shared" si="32"/>
        <v>要回答</v>
      </c>
    </row>
    <row r="447" ht="54.0" customHeight="1" outlineLevel="1">
      <c r="A447" s="16"/>
      <c r="B447" s="16"/>
      <c r="C447" s="16"/>
      <c r="D447" s="16"/>
      <c r="E447" s="16"/>
      <c r="F447" s="16"/>
      <c r="G447" s="27" t="str">
        <f>IF($M$430="✖ 回答不要","【回答不要】 ","")&amp;"  └ 最終実施年月"</f>
        <v>  └ 最終実施年月</v>
      </c>
      <c r="H447" s="14"/>
      <c r="I447" s="16"/>
      <c r="J447" s="16"/>
      <c r="K447" s="16"/>
      <c r="L447" s="20"/>
      <c r="M447" s="17" t="str">
        <f t="shared" si="32"/>
        <v>要回答</v>
      </c>
    </row>
    <row r="448" ht="54.0" customHeight="1" outlineLevel="1">
      <c r="A448" s="16"/>
      <c r="B448" s="16"/>
      <c r="C448" s="16"/>
      <c r="D448" s="16"/>
      <c r="E448" s="16"/>
      <c r="F448" s="16"/>
      <c r="G448" s="26" t="str">
        <f>IF($M$430="✖ 回答不要","【回答不要】 ","")&amp;"その他"&amp;CHAR(10)&amp;"   └ [詳細*]"</f>
        <v>その他
   └ [詳細*]</v>
      </c>
      <c r="H448" s="14"/>
      <c r="I448" s="15"/>
      <c r="J448" s="16"/>
      <c r="K448" s="16"/>
      <c r="L448" s="15"/>
      <c r="M448" s="17" t="str">
        <f t="shared" si="32"/>
        <v>要回答</v>
      </c>
    </row>
    <row r="449" ht="54.0" customHeight="1" outlineLevel="1">
      <c r="A449" s="16"/>
      <c r="B449" s="16"/>
      <c r="C449" s="16"/>
      <c r="D449" s="16"/>
      <c r="E449" s="16"/>
      <c r="F449" s="16"/>
      <c r="G449" s="26" t="str">
        <f>IF($M$430="✖ 回答不要","【回答不要】 ","")&amp;"該当なし"</f>
        <v>該当なし</v>
      </c>
      <c r="H449" s="14"/>
      <c r="I449" s="16"/>
      <c r="J449" s="16"/>
      <c r="K449" s="16"/>
      <c r="L449" s="15"/>
      <c r="M449" s="17" t="str">
        <f t="shared" si="32"/>
        <v>要回答</v>
      </c>
    </row>
    <row r="450" ht="54.0" customHeight="1" outlineLevel="1">
      <c r="A450" s="16"/>
      <c r="B450" s="16"/>
      <c r="C450" s="16"/>
      <c r="D450" s="16"/>
      <c r="E450" s="16"/>
      <c r="F450" s="16"/>
      <c r="G450" s="26" t="str">
        <f>IF($M$430="✖ 回答不要","【回答不要】 ","")&amp;"非公開"</f>
        <v>非公開</v>
      </c>
      <c r="H450" s="14"/>
      <c r="I450" s="16"/>
      <c r="J450" s="16"/>
      <c r="K450" s="16"/>
      <c r="L450" s="15"/>
      <c r="M450" s="17" t="str">
        <f t="shared" si="32"/>
        <v>要回答</v>
      </c>
    </row>
    <row r="451" ht="54.0" customHeight="1" outlineLevel="1">
      <c r="A451" s="21">
        <v>59.0</v>
      </c>
      <c r="B451" s="22" t="str">
        <f>$M$451</f>
        <v>要回答</v>
      </c>
      <c r="C451" s="23" t="s">
        <v>30</v>
      </c>
      <c r="D451" s="23" t="s">
        <v>98</v>
      </c>
      <c r="E451" s="24" t="s">
        <v>103</v>
      </c>
      <c r="F451" s="25" t="str">
        <f>IF($M$451="✖ 回答不要","【この設問は回答不要です】"&amp;CHAR(10),"")&amp;"脆弱性管理について、実施している対策をすべて選択してください。"</f>
        <v>脆弱性管理について、実施している対策をすべて選択してください。</v>
      </c>
      <c r="G451" s="26" t="str">
        <f>IF($M$451="✖ 回答不要","【回答不要】 ","")&amp;"脆弱性を管理するための方針や手順を文書化している"</f>
        <v>脆弱性を管理するための方針や手順を文書化している</v>
      </c>
      <c r="H451" s="14"/>
      <c r="I451" s="16"/>
      <c r="J451" s="16"/>
      <c r="K451" s="16"/>
      <c r="L451" s="15"/>
      <c r="M451" s="17" t="str">
        <f t="shared" si="32"/>
        <v>要回答</v>
      </c>
    </row>
    <row r="452" ht="54.0" customHeight="1" outlineLevel="1">
      <c r="A452" s="16"/>
      <c r="B452" s="16"/>
      <c r="C452" s="16"/>
      <c r="D452" s="16"/>
      <c r="E452" s="16"/>
      <c r="F452" s="16"/>
      <c r="G452" s="26" t="str">
        <f>IF($M$451="✖ 回答不要","【回答不要】 ","")&amp;"脆弱性を管理するための方針や手順を定期的に見直している"</f>
        <v>脆弱性を管理するための方針や手順を定期的に見直している</v>
      </c>
      <c r="H452" s="14"/>
      <c r="I452" s="16"/>
      <c r="J452" s="16"/>
      <c r="K452" s="16"/>
      <c r="L452" s="15"/>
      <c r="M452" s="17" t="str">
        <f t="shared" si="32"/>
        <v>要回答</v>
      </c>
    </row>
    <row r="453" ht="54.0" customHeight="1" outlineLevel="1">
      <c r="A453" s="16"/>
      <c r="B453" s="16"/>
      <c r="C453" s="16"/>
      <c r="D453" s="16"/>
      <c r="E453" s="16"/>
      <c r="F453" s="16"/>
      <c r="G453" s="26" t="str">
        <f>IF($M$451="✖ 回答不要","【回答不要】 ","")&amp;"脆弱性の緊急度や自社環境への影響度に応じて、セキュリティパッチやソフトウェアのアップデートを適用している"</f>
        <v>脆弱性の緊急度や自社環境への影響度に応じて、セキュリティパッチやソフトウェアのアップデートを適用している</v>
      </c>
      <c r="H453" s="14"/>
      <c r="I453" s="16"/>
      <c r="J453" s="16"/>
      <c r="K453" s="16"/>
      <c r="L453" s="15"/>
      <c r="M453" s="17" t="str">
        <f t="shared" si="32"/>
        <v>要回答</v>
      </c>
    </row>
    <row r="454" ht="54.0" customHeight="1" outlineLevel="1">
      <c r="A454" s="16"/>
      <c r="B454" s="16"/>
      <c r="C454" s="16"/>
      <c r="D454" s="16"/>
      <c r="E454" s="16"/>
      <c r="F454" s="16"/>
      <c r="G454" s="26" t="str">
        <f>IF($M$451="✖ 回答不要","【回答不要】 ","")&amp;"（取引元からの要請があった場合）脆弱性の緊急度や自社環境への影響度に応じて、脆弱性の対応状況について取引元へ提供可能である"</f>
        <v>（取引元からの要請があった場合）脆弱性の緊急度や自社環境への影響度に応じて、脆弱性の対応状況について取引元へ提供可能である</v>
      </c>
      <c r="H454" s="14"/>
      <c r="I454" s="16"/>
      <c r="J454" s="16"/>
      <c r="K454" s="16"/>
      <c r="L454" s="15"/>
      <c r="M454" s="17" t="str">
        <f t="shared" si="32"/>
        <v>要回答</v>
      </c>
    </row>
    <row r="455" ht="54.0" customHeight="1" outlineLevel="1">
      <c r="A455" s="16"/>
      <c r="B455" s="16"/>
      <c r="C455" s="16"/>
      <c r="D455" s="16"/>
      <c r="E455" s="16"/>
      <c r="F455" s="16"/>
      <c r="G455" s="26" t="str">
        <f>IF($M$451="✖ 回答不要","【回答不要】 ","")&amp;"その他"&amp;CHAR(10)&amp;"   └ [詳細*]"</f>
        <v>その他
   └ [詳細*]</v>
      </c>
      <c r="H455" s="14"/>
      <c r="I455" s="15"/>
      <c r="J455" s="16"/>
      <c r="K455" s="16"/>
      <c r="L455" s="15"/>
      <c r="M455" s="17" t="str">
        <f t="shared" si="32"/>
        <v>要回答</v>
      </c>
    </row>
    <row r="456" ht="54.0" customHeight="1" outlineLevel="1">
      <c r="A456" s="16"/>
      <c r="B456" s="16"/>
      <c r="C456" s="16"/>
      <c r="D456" s="16"/>
      <c r="E456" s="16"/>
      <c r="F456" s="16"/>
      <c r="G456" s="26" t="str">
        <f>IF($M$451="✖ 回答不要","【回答不要】 ","")&amp;"該当なし"</f>
        <v>該当なし</v>
      </c>
      <c r="H456" s="14"/>
      <c r="I456" s="16"/>
      <c r="J456" s="16"/>
      <c r="K456" s="16"/>
      <c r="L456" s="15"/>
      <c r="M456" s="17" t="str">
        <f t="shared" si="32"/>
        <v>要回答</v>
      </c>
    </row>
    <row r="457" ht="54.0" customHeight="1" outlineLevel="1">
      <c r="A457" s="16"/>
      <c r="B457" s="16"/>
      <c r="C457" s="16"/>
      <c r="D457" s="16"/>
      <c r="E457" s="16"/>
      <c r="F457" s="16"/>
      <c r="G457" s="26" t="str">
        <f>IF($M$451="✖ 回答不要","【回答不要】 ","")&amp;"非公開"</f>
        <v>非公開</v>
      </c>
      <c r="H457" s="14"/>
      <c r="I457" s="16"/>
      <c r="J457" s="16"/>
      <c r="K457" s="16"/>
      <c r="L457" s="15"/>
      <c r="M457" s="17" t="str">
        <f t="shared" si="32"/>
        <v>要回答</v>
      </c>
    </row>
    <row r="458" ht="54.0" customHeight="1" outlineLevel="1">
      <c r="A458" s="21">
        <v>60.0</v>
      </c>
      <c r="B458" s="22" t="str">
        <f>$M$458</f>
        <v>要回答</v>
      </c>
      <c r="C458" s="23" t="s">
        <v>30</v>
      </c>
      <c r="D458" s="23" t="s">
        <v>98</v>
      </c>
      <c r="E458" s="24" t="s">
        <v>104</v>
      </c>
      <c r="F458" s="25" t="str">
        <f>IF($M$458="✖ 回答不要","【この設問は回答不要です】"&amp;CHAR(10),"")&amp;"構成管理について、実施している対策をすべて選択してください。"</f>
        <v>構成管理について、実施している対策をすべて選択してください。</v>
      </c>
      <c r="G458" s="26" t="str">
        <f>IF($M$458="✖ 回答不要","【回答不要】 ","")&amp;"システムを構成する各コンポーネント（システムのOSやミドルウェア、ライブラリ、ファームウェア等）を把握、記録するための方針や手順を文書化している"</f>
        <v>システムを構成する各コンポーネント（システムのOSやミドルウェア、ライブラリ、ファームウェア等）を把握、記録するための方針や手順を文書化している</v>
      </c>
      <c r="H458" s="14"/>
      <c r="I458" s="16"/>
      <c r="J458" s="16"/>
      <c r="K458" s="16"/>
      <c r="L458" s="15"/>
      <c r="M458" s="17" t="str">
        <f t="shared" si="32"/>
        <v>要回答</v>
      </c>
    </row>
    <row r="459" ht="54.0" customHeight="1" outlineLevel="1">
      <c r="A459" s="16"/>
      <c r="B459" s="16"/>
      <c r="C459" s="16"/>
      <c r="D459" s="16"/>
      <c r="E459" s="16"/>
      <c r="F459" s="16"/>
      <c r="G459" s="26" t="str">
        <f>IF($M$458="✖ 回答不要","【回答不要】 ","")&amp;"システムを構成する各コンポーネント（システムのOSやミドルウェア、ライブラリ、ファームウェア等）を把握、記録するための方針や手順を定期的に見直している"</f>
        <v>システムを構成する各コンポーネント（システムのOSやミドルウェア、ライブラリ、ファームウェア等）を把握、記録するための方針や手順を定期的に見直している</v>
      </c>
      <c r="H459" s="14"/>
      <c r="I459" s="16"/>
      <c r="J459" s="16"/>
      <c r="K459" s="16"/>
      <c r="L459" s="15"/>
      <c r="M459" s="17" t="str">
        <f t="shared" si="32"/>
        <v>要回答</v>
      </c>
    </row>
    <row r="460" ht="54.0" customHeight="1" outlineLevel="1">
      <c r="A460" s="16"/>
      <c r="B460" s="16"/>
      <c r="C460" s="16"/>
      <c r="D460" s="16"/>
      <c r="E460" s="16"/>
      <c r="F460" s="16"/>
      <c r="G460" s="26" t="str">
        <f>IF($M$458="✖ 回答不要","【回答不要】 ","")&amp;"システムを構成する各コンポーネント（システムのOSやミドルウェア、ライブラリ、ファームウェア等）のEOL,EOS, EOAに関する情報や自社環境への影響度に応じて、対応（バージョンアップ、延長サポートの締結、予備機購入等）を実施している"</f>
        <v>システムを構成する各コンポーネント（システムのOSやミドルウェア、ライブラリ、ファームウェア等）のEOL,EOS, EOAに関する情報や自社環境への影響度に応じて、対応（バージョンアップ、延長サポートの締結、予備機購入等）を実施している</v>
      </c>
      <c r="H460" s="14"/>
      <c r="I460" s="16"/>
      <c r="J460" s="16"/>
      <c r="K460" s="16"/>
      <c r="L460" s="15"/>
      <c r="M460" s="17" t="str">
        <f t="shared" si="32"/>
        <v>要回答</v>
      </c>
    </row>
    <row r="461" ht="54.0" customHeight="1" outlineLevel="1">
      <c r="A461" s="16"/>
      <c r="B461" s="16"/>
      <c r="C461" s="16"/>
      <c r="D461" s="16"/>
      <c r="E461" s="16"/>
      <c r="F461" s="16"/>
      <c r="G461" s="26" t="str">
        <f>IF($M$458="✖ 回答不要","【回答不要】 ","")&amp;"その他"&amp;CHAR(10)&amp;"   └ [詳細*]"</f>
        <v>その他
   └ [詳細*]</v>
      </c>
      <c r="H461" s="14"/>
      <c r="I461" s="15"/>
      <c r="J461" s="16"/>
      <c r="K461" s="16"/>
      <c r="L461" s="15"/>
      <c r="M461" s="17" t="str">
        <f t="shared" si="32"/>
        <v>要回答</v>
      </c>
    </row>
    <row r="462" ht="54.0" customHeight="1" outlineLevel="1">
      <c r="A462" s="16"/>
      <c r="B462" s="16"/>
      <c r="C462" s="16"/>
      <c r="D462" s="16"/>
      <c r="E462" s="16"/>
      <c r="F462" s="16"/>
      <c r="G462" s="26" t="str">
        <f>IF($M$458="✖ 回答不要","【回答不要】 ","")&amp;"該当なし"</f>
        <v>該当なし</v>
      </c>
      <c r="H462" s="14"/>
      <c r="I462" s="16"/>
      <c r="J462" s="16"/>
      <c r="K462" s="16"/>
      <c r="L462" s="15"/>
      <c r="M462" s="17" t="str">
        <f t="shared" si="32"/>
        <v>要回答</v>
      </c>
    </row>
    <row r="463" ht="54.0" customHeight="1" outlineLevel="1">
      <c r="A463" s="16"/>
      <c r="B463" s="16"/>
      <c r="C463" s="16"/>
      <c r="D463" s="16"/>
      <c r="E463" s="16"/>
      <c r="F463" s="16"/>
      <c r="G463" s="26" t="str">
        <f>IF($M$458="✖ 回答不要","【回答不要】 ","")&amp;"非公開"</f>
        <v>非公開</v>
      </c>
      <c r="H463" s="14"/>
      <c r="I463" s="16"/>
      <c r="J463" s="16"/>
      <c r="K463" s="16"/>
      <c r="L463" s="15"/>
      <c r="M463" s="17" t="str">
        <f t="shared" si="32"/>
        <v>要回答</v>
      </c>
    </row>
    <row r="464" ht="54.0" customHeight="1" outlineLevel="1">
      <c r="A464" s="21">
        <v>61.0</v>
      </c>
      <c r="B464" s="22" t="str">
        <f>$M$464</f>
        <v>要回答</v>
      </c>
      <c r="C464" s="23" t="s">
        <v>30</v>
      </c>
      <c r="D464" s="23" t="s">
        <v>98</v>
      </c>
      <c r="E464" s="24" t="s">
        <v>105</v>
      </c>
      <c r="F464" s="25" t="str">
        <f>IF($M$464="✖ 回答不要","【この設問は回答不要です】"&amp;CHAR(10),"")&amp;"サーバにおけるマルウェア対策について、実施している対策をすべて選択してください。"</f>
        <v>サーバにおけるマルウェア対策について、実施している対策をすべて選択してください。</v>
      </c>
      <c r="G464" s="26" t="str">
        <f>IF($M$464="✖ 回答不要","【回答不要】 ","")&amp;"既知のマルウェア対策として、アンチウィルスソフトを導入し、リアルタイムスキャン、定期的なウィルススキャンやパターンファイルの最新化を行なっている"</f>
        <v>既知のマルウェア対策として、アンチウィルスソフトを導入し、リアルタイムスキャン、定期的なウィルススキャンやパターンファイルの最新化を行なっている</v>
      </c>
      <c r="H464" s="14"/>
      <c r="I464" s="16"/>
      <c r="J464" s="16"/>
      <c r="K464" s="16"/>
      <c r="L464" s="15"/>
      <c r="M464" s="17" t="str">
        <f t="shared" si="32"/>
        <v>要回答</v>
      </c>
    </row>
    <row r="465" ht="54.0" customHeight="1" outlineLevel="1">
      <c r="A465" s="16"/>
      <c r="B465" s="16"/>
      <c r="C465" s="16"/>
      <c r="D465" s="16"/>
      <c r="E465" s="16"/>
      <c r="F465" s="16"/>
      <c r="G465" s="26" t="str">
        <f>IF($M$464="✖ 回答不要","【回答不要】 ","")&amp;"未知のマルウェア対策として、EDR製品や振る舞い検知を行う製品を導入している"</f>
        <v>未知のマルウェア対策として、EDR製品や振る舞い検知を行う製品を導入している</v>
      </c>
      <c r="H465" s="14"/>
      <c r="I465" s="16"/>
      <c r="J465" s="16"/>
      <c r="K465" s="16"/>
      <c r="L465" s="15"/>
      <c r="M465" s="17" t="str">
        <f t="shared" si="32"/>
        <v>要回答</v>
      </c>
    </row>
    <row r="466" ht="54.0" customHeight="1" outlineLevel="1">
      <c r="A466" s="16"/>
      <c r="B466" s="16"/>
      <c r="C466" s="16"/>
      <c r="D466" s="16"/>
      <c r="E466" s="16"/>
      <c r="F466" s="16"/>
      <c r="G466" s="26" t="str">
        <f>IF($M$464="✖ 回答不要","【回答不要】 ","")&amp;"その他"&amp;CHAR(10)&amp;"   └ [詳細*]"</f>
        <v>その他
   └ [詳細*]</v>
      </c>
      <c r="H466" s="14"/>
      <c r="I466" s="15"/>
      <c r="J466" s="16"/>
      <c r="K466" s="16"/>
      <c r="L466" s="15"/>
      <c r="M466" s="17" t="str">
        <f t="shared" si="32"/>
        <v>要回答</v>
      </c>
    </row>
    <row r="467" ht="54.0" customHeight="1" outlineLevel="1">
      <c r="A467" s="16"/>
      <c r="B467" s="16"/>
      <c r="C467" s="16"/>
      <c r="D467" s="16"/>
      <c r="E467" s="16"/>
      <c r="F467" s="16"/>
      <c r="G467" s="26" t="str">
        <f>IF($M$464="✖ 回答不要","【回答不要】 ","")&amp;"該当なし"</f>
        <v>該当なし</v>
      </c>
      <c r="H467" s="14"/>
      <c r="I467" s="16"/>
      <c r="J467" s="16"/>
      <c r="K467" s="16"/>
      <c r="L467" s="15"/>
      <c r="M467" s="17" t="str">
        <f t="shared" si="32"/>
        <v>要回答</v>
      </c>
    </row>
    <row r="468" ht="54.0" customHeight="1" outlineLevel="1">
      <c r="A468" s="16"/>
      <c r="B468" s="16"/>
      <c r="C468" s="16"/>
      <c r="D468" s="16"/>
      <c r="E468" s="16"/>
      <c r="F468" s="16"/>
      <c r="G468" s="26" t="str">
        <f>IF($M$464="✖ 回答不要","【回答不要】 ","")&amp;"非公開"</f>
        <v>非公開</v>
      </c>
      <c r="H468" s="14"/>
      <c r="I468" s="16"/>
      <c r="J468" s="16"/>
      <c r="K468" s="16"/>
      <c r="L468" s="15"/>
      <c r="M468" s="17" t="str">
        <f t="shared" si="32"/>
        <v>要回答</v>
      </c>
    </row>
    <row r="469" ht="54.0" customHeight="1">
      <c r="A469" s="5"/>
      <c r="B469" s="6"/>
      <c r="C469" s="6"/>
      <c r="D469" s="6"/>
      <c r="E469" s="6"/>
      <c r="F469" s="6"/>
      <c r="G469" s="6"/>
      <c r="H469" s="6"/>
      <c r="I469" s="6"/>
      <c r="J469" s="6"/>
      <c r="K469" s="6"/>
      <c r="L469" s="6"/>
      <c r="M469" s="7"/>
    </row>
    <row r="470" ht="54.0" customHeight="1" outlineLevel="1">
      <c r="A470" s="21">
        <v>62.0</v>
      </c>
      <c r="B470" s="22" t="str">
        <f>$M$470</f>
        <v>要回答</v>
      </c>
      <c r="C470" s="23" t="s">
        <v>30</v>
      </c>
      <c r="D470" s="23" t="s">
        <v>106</v>
      </c>
      <c r="E470" s="24" t="s">
        <v>107</v>
      </c>
      <c r="F470" s="25" t="str">
        <f>IF($M$470="✖ 回答不要","【この設問は回答不要です】"&amp;CHAR(10),"")&amp;"各システムで実施している監視について、該当する選択肢をすべて選択してください。"</f>
        <v>各システムで実施している監視について、該当する選択肢をすべて選択してください。</v>
      </c>
      <c r="G470" s="26" t="str">
        <f>IF($M$470="✖ 回答不要","【回答不要】 ","")&amp;"サーバおよびネットワークに対するパフォーマンス監視"</f>
        <v>サーバおよびネットワークに対するパフォーマンス監視</v>
      </c>
      <c r="H470" s="14"/>
      <c r="I470" s="16"/>
      <c r="J470" s="16"/>
      <c r="K470" s="16"/>
      <c r="L470" s="15"/>
      <c r="M470" s="17" t="str">
        <f t="shared" ref="M470:M478" si="33">IF(OR($H$38="○"),"✖ 回答不要","要回答")</f>
        <v>要回答</v>
      </c>
    </row>
    <row r="471" ht="54.0" customHeight="1" outlineLevel="1">
      <c r="A471" s="16"/>
      <c r="B471" s="16"/>
      <c r="C471" s="16"/>
      <c r="D471" s="16"/>
      <c r="E471" s="16"/>
      <c r="F471" s="16"/>
      <c r="G471" s="26" t="str">
        <f>IF($M$470="✖ 回答不要","【回答不要】 ","")&amp;"サーバやネットワーク機器の死活や障害監視、外形監視（運用監視）"</f>
        <v>サーバやネットワーク機器の死活や障害監視、外形監視（運用監視）</v>
      </c>
      <c r="H471" s="14"/>
      <c r="I471" s="16"/>
      <c r="J471" s="16"/>
      <c r="K471" s="16"/>
      <c r="L471" s="15"/>
      <c r="M471" s="17" t="str">
        <f t="shared" si="33"/>
        <v>要回答</v>
      </c>
    </row>
    <row r="472" ht="54.0" customHeight="1" outlineLevel="1">
      <c r="A472" s="16"/>
      <c r="B472" s="16"/>
      <c r="C472" s="16"/>
      <c r="D472" s="16"/>
      <c r="E472" s="16"/>
      <c r="F472" s="16"/>
      <c r="G472" s="26" t="str">
        <f>IF($M$470="✖ 回答不要","【回答不要】 ","")&amp;"内部および外部からの不正アクセスや不正利用の監視"</f>
        <v>内部および外部からの不正アクセスや不正利用の監視</v>
      </c>
      <c r="H472" s="14"/>
      <c r="I472" s="16"/>
      <c r="J472" s="16"/>
      <c r="K472" s="16"/>
      <c r="L472" s="15"/>
      <c r="M472" s="17" t="str">
        <f t="shared" si="33"/>
        <v>要回答</v>
      </c>
    </row>
    <row r="473" ht="54.0" customHeight="1" outlineLevel="1">
      <c r="A473" s="16"/>
      <c r="B473" s="16"/>
      <c r="C473" s="16"/>
      <c r="D473" s="16"/>
      <c r="E473" s="16"/>
      <c r="F473" s="16"/>
      <c r="G473" s="26" t="str">
        <f>IF($M$470="✖ 回答不要","【回答不要】 ","")&amp;"脅威インテリジェンス（サイバー攻撃の兆候等）の活用"</f>
        <v>脅威インテリジェンス（サイバー攻撃の兆候等）の活用</v>
      </c>
      <c r="H473" s="14"/>
      <c r="I473" s="16"/>
      <c r="J473" s="16"/>
      <c r="K473" s="16"/>
      <c r="L473" s="15"/>
      <c r="M473" s="17" t="str">
        <f t="shared" si="33"/>
        <v>要回答</v>
      </c>
    </row>
    <row r="474" ht="54.0" customHeight="1" outlineLevel="1">
      <c r="A474" s="16"/>
      <c r="B474" s="16"/>
      <c r="C474" s="16"/>
      <c r="D474" s="16"/>
      <c r="E474" s="16"/>
      <c r="F474" s="16"/>
      <c r="G474" s="26" t="str">
        <f>IF($M$470="✖ 回答不要","【回答不要】 ","")&amp;"ソフトウェアのインストール、インターネットアクセスなど社内ルール違反等の挙動監視"</f>
        <v>ソフトウェアのインストール、インターネットアクセスなど社内ルール違反等の挙動監視</v>
      </c>
      <c r="H474" s="14"/>
      <c r="I474" s="16"/>
      <c r="J474" s="16"/>
      <c r="K474" s="16"/>
      <c r="L474" s="15"/>
      <c r="M474" s="17" t="str">
        <f t="shared" si="33"/>
        <v>要回答</v>
      </c>
    </row>
    <row r="475" ht="54.0" customHeight="1" outlineLevel="1">
      <c r="A475" s="16"/>
      <c r="B475" s="16"/>
      <c r="C475" s="16"/>
      <c r="D475" s="16"/>
      <c r="E475" s="16"/>
      <c r="F475" s="16"/>
      <c r="G475" s="26" t="str">
        <f>IF($M$470="✖ 回答不要","【回答不要】 ","")&amp;"サーバへのリモートアクセスやシステムの環境、管理画面等へのアクセスの監視"</f>
        <v>サーバへのリモートアクセスやシステムの環境、管理画面等へのアクセスの監視</v>
      </c>
      <c r="H475" s="14"/>
      <c r="I475" s="16"/>
      <c r="J475" s="16"/>
      <c r="K475" s="16"/>
      <c r="L475" s="15"/>
      <c r="M475" s="17" t="str">
        <f t="shared" si="33"/>
        <v>要回答</v>
      </c>
    </row>
    <row r="476" ht="54.0" customHeight="1" outlineLevel="1">
      <c r="A476" s="16"/>
      <c r="B476" s="16"/>
      <c r="C476" s="16"/>
      <c r="D476" s="16"/>
      <c r="E476" s="16"/>
      <c r="F476" s="16"/>
      <c r="G476" s="26" t="str">
        <f>IF($M$470="✖ 回答不要","【回答不要】 ","")&amp;"監視基準（アラート閾値や緊急度の判定基準等）を定期的に見直している"</f>
        <v>監視基準（アラート閾値や緊急度の判定基準等）を定期的に見直している</v>
      </c>
      <c r="H476" s="14"/>
      <c r="I476" s="16"/>
      <c r="J476" s="16"/>
      <c r="K476" s="16"/>
      <c r="L476" s="15"/>
      <c r="M476" s="17" t="str">
        <f t="shared" si="33"/>
        <v>要回答</v>
      </c>
    </row>
    <row r="477" ht="54.0" customHeight="1" outlineLevel="1">
      <c r="A477" s="16"/>
      <c r="B477" s="16"/>
      <c r="C477" s="16"/>
      <c r="D477" s="16"/>
      <c r="E477" s="16"/>
      <c r="F477" s="16"/>
      <c r="G477" s="26" t="str">
        <f>IF($M$470="✖ 回答不要","【回答不要】 ","")&amp;"該当なし"</f>
        <v>該当なし</v>
      </c>
      <c r="H477" s="14"/>
      <c r="I477" s="16"/>
      <c r="J477" s="16"/>
      <c r="K477" s="16"/>
      <c r="L477" s="15"/>
      <c r="M477" s="17" t="str">
        <f t="shared" si="33"/>
        <v>要回答</v>
      </c>
    </row>
    <row r="478" ht="54.0" customHeight="1" outlineLevel="1">
      <c r="A478" s="16"/>
      <c r="B478" s="16"/>
      <c r="C478" s="16"/>
      <c r="D478" s="16"/>
      <c r="E478" s="16"/>
      <c r="F478" s="16"/>
      <c r="G478" s="26" t="str">
        <f>IF($M$470="✖ 回答不要","【回答不要】 ","")&amp;"非公開"</f>
        <v>非公開</v>
      </c>
      <c r="H478" s="14"/>
      <c r="I478" s="16"/>
      <c r="J478" s="16"/>
      <c r="K478" s="16"/>
      <c r="L478" s="15"/>
      <c r="M478" s="17" t="str">
        <f t="shared" si="33"/>
        <v>要回答</v>
      </c>
    </row>
    <row r="479" ht="54.0" customHeight="1">
      <c r="A479" s="5"/>
      <c r="B479" s="6"/>
      <c r="C479" s="6"/>
      <c r="D479" s="6"/>
      <c r="E479" s="6"/>
      <c r="F479" s="6"/>
      <c r="G479" s="6"/>
      <c r="H479" s="6"/>
      <c r="I479" s="6"/>
      <c r="J479" s="6"/>
      <c r="K479" s="6"/>
      <c r="L479" s="6"/>
      <c r="M479" s="7"/>
    </row>
    <row r="480" ht="54.0" customHeight="1" outlineLevel="1">
      <c r="A480" s="21">
        <v>63.0</v>
      </c>
      <c r="B480" s="22" t="str">
        <f>$M$480</f>
        <v>要回答</v>
      </c>
      <c r="C480" s="23" t="s">
        <v>30</v>
      </c>
      <c r="D480" s="23" t="s">
        <v>108</v>
      </c>
      <c r="E480" s="24" t="s">
        <v>109</v>
      </c>
      <c r="F480" s="25" t="str">
        <f>IF($M$480="✖ 回答不要","【この設問は回答不要です】"&amp;CHAR(10),"")&amp;"ネットワークアクセス制御（通信の許可・遮断）について、実施していることをすべて選択してください。"</f>
        <v>ネットワークアクセス制御（通信の許可・遮断）について、実施していることをすべて選択してください。</v>
      </c>
      <c r="G480" s="26" t="str">
        <f>IF($M$480="✖ 回答不要","【回答不要】 ","")&amp;"外部・インターネットとのネットワーク境界を定め、ファイアウォールや類似の機能により通信を制御している"</f>
        <v>外部・インターネットとのネットワーク境界を定め、ファイアウォールや類似の機能により通信を制御している</v>
      </c>
      <c r="H480" s="14"/>
      <c r="I480" s="16"/>
      <c r="J480" s="16"/>
      <c r="K480" s="16"/>
      <c r="L480" s="15"/>
      <c r="M480" s="17" t="str">
        <f t="shared" ref="M480:M500" si="34">IF(OR($H$38="○"),"✖ 回答不要","要回答")</f>
        <v>要回答</v>
      </c>
    </row>
    <row r="481" ht="54.0" customHeight="1" outlineLevel="1">
      <c r="A481" s="16"/>
      <c r="B481" s="16"/>
      <c r="C481" s="16"/>
      <c r="D481" s="16"/>
      <c r="E481" s="16"/>
      <c r="F481" s="16"/>
      <c r="G481" s="26" t="str">
        <f>IF($M$480="✖ 回答不要","【回答不要】 ","")&amp;"内部でのネットワーク境界を定め、セグメント間の通信を制御している"</f>
        <v>内部でのネットワーク境界を定め、セグメント間の通信を制御している</v>
      </c>
      <c r="H481" s="14"/>
      <c r="I481" s="16"/>
      <c r="J481" s="16"/>
      <c r="K481" s="16"/>
      <c r="L481" s="15"/>
      <c r="M481" s="17" t="str">
        <f t="shared" si="34"/>
        <v>要回答</v>
      </c>
    </row>
    <row r="482" ht="54.0" customHeight="1" outlineLevel="1">
      <c r="A482" s="16"/>
      <c r="B482" s="16"/>
      <c r="C482" s="16"/>
      <c r="D482" s="16"/>
      <c r="E482" s="16"/>
      <c r="F482" s="16"/>
      <c r="G482" s="27" t="str">
        <f>IF($M$480="✖ 回答不要","【回答不要】 ","")&amp;"  └ 本番環境と開発・テスト環境の分離"</f>
        <v>  └ 本番環境と開発・テスト環境の分離</v>
      </c>
      <c r="H482" s="14"/>
      <c r="I482" s="16"/>
      <c r="J482" s="16"/>
      <c r="K482" s="16"/>
      <c r="L482" s="20"/>
      <c r="M482" s="17" t="str">
        <f t="shared" si="34"/>
        <v>要回答</v>
      </c>
    </row>
    <row r="483" ht="54.0" customHeight="1" outlineLevel="1">
      <c r="A483" s="16"/>
      <c r="B483" s="16"/>
      <c r="C483" s="16"/>
      <c r="D483" s="16"/>
      <c r="E483" s="16"/>
      <c r="F483" s="16"/>
      <c r="G483" s="27" t="str">
        <f>IF($M$480="✖ 回答不要","【回答不要】 ","")&amp;"  └ 業務システムとOAシステムの分離"</f>
        <v>  └ 業務システムとOAシステムの分離</v>
      </c>
      <c r="H483" s="14"/>
      <c r="I483" s="16"/>
      <c r="J483" s="16"/>
      <c r="K483" s="16"/>
      <c r="L483" s="20"/>
      <c r="M483" s="17" t="str">
        <f t="shared" si="34"/>
        <v>要回答</v>
      </c>
    </row>
    <row r="484" ht="54.0" customHeight="1" outlineLevel="1">
      <c r="A484" s="16"/>
      <c r="B484" s="16"/>
      <c r="C484" s="16"/>
      <c r="D484" s="16"/>
      <c r="E484" s="16"/>
      <c r="F484" s="16"/>
      <c r="G484" s="27" t="str">
        <f>IF($M$480="✖ 回答不要","【回答不要】 ","")&amp;"  └ 異なる業務システム間の分離"</f>
        <v>  └ 異なる業務システム間の分離</v>
      </c>
      <c r="H484" s="14"/>
      <c r="I484" s="16"/>
      <c r="J484" s="16"/>
      <c r="K484" s="16"/>
      <c r="L484" s="20"/>
      <c r="M484" s="17" t="str">
        <f t="shared" si="34"/>
        <v>要回答</v>
      </c>
    </row>
    <row r="485" ht="54.0" customHeight="1" outlineLevel="1">
      <c r="A485" s="16"/>
      <c r="B485" s="16"/>
      <c r="C485" s="16"/>
      <c r="D485" s="16"/>
      <c r="E485" s="16"/>
      <c r="F485" s="16"/>
      <c r="G485" s="27" t="str">
        <f>IF($M$480="✖ 回答不要","【回答不要】 ","")&amp;"  └ サービス通信と管理通信の分離（管理用セグメントの設置）"</f>
        <v>  └ サービス通信と管理通信の分離（管理用セグメントの設置）</v>
      </c>
      <c r="H485" s="14"/>
      <c r="I485" s="16"/>
      <c r="J485" s="16"/>
      <c r="K485" s="16"/>
      <c r="L485" s="20"/>
      <c r="M485" s="17" t="str">
        <f t="shared" si="34"/>
        <v>要回答</v>
      </c>
    </row>
    <row r="486" ht="54.0" customHeight="1" outlineLevel="1">
      <c r="A486" s="16"/>
      <c r="B486" s="16"/>
      <c r="C486" s="16"/>
      <c r="D486" s="16"/>
      <c r="E486" s="16"/>
      <c r="F486" s="16"/>
      <c r="G486" s="27" t="str">
        <f>IF($M$480="✖ 回答不要","【回答不要】 ","")&amp;"  └ その他"&amp;CHAR(10)&amp;"       [詳細*]"</f>
        <v>  └ その他
       [詳細*]</v>
      </c>
      <c r="H486" s="14"/>
      <c r="I486" s="15"/>
      <c r="J486" s="16"/>
      <c r="K486" s="16"/>
      <c r="L486" s="20"/>
      <c r="M486" s="17" t="str">
        <f t="shared" si="34"/>
        <v>要回答</v>
      </c>
    </row>
    <row r="487" ht="54.0" customHeight="1" outlineLevel="1">
      <c r="A487" s="16"/>
      <c r="B487" s="16"/>
      <c r="C487" s="16"/>
      <c r="D487" s="16"/>
      <c r="E487" s="16"/>
      <c r="F487" s="16"/>
      <c r="G487" s="26" t="str">
        <f>IF($M$480="✖ 回答不要","【回答不要】 ","")&amp;"高度なネットワーク分離（マイクロセグメンテーション）を行っている"</f>
        <v>高度なネットワーク分離（マイクロセグメンテーション）を行っている</v>
      </c>
      <c r="H487" s="14"/>
      <c r="I487" s="16"/>
      <c r="J487" s="16"/>
      <c r="K487" s="16"/>
      <c r="L487" s="15"/>
      <c r="M487" s="17" t="str">
        <f t="shared" si="34"/>
        <v>要回答</v>
      </c>
    </row>
    <row r="488" ht="54.0" customHeight="1" outlineLevel="1">
      <c r="A488" s="16"/>
      <c r="B488" s="16"/>
      <c r="C488" s="16"/>
      <c r="D488" s="16"/>
      <c r="E488" s="16"/>
      <c r="F488" s="16"/>
      <c r="G488" s="26" t="str">
        <f>IF($M$480="✖ 回答不要","【回答不要】 ","")&amp;"年に1回以上、ネットワークアクセス制御に関する設定を見直している"</f>
        <v>年に1回以上、ネットワークアクセス制御に関する設定を見直している</v>
      </c>
      <c r="H488" s="14"/>
      <c r="I488" s="16"/>
      <c r="J488" s="16"/>
      <c r="K488" s="16"/>
      <c r="L488" s="15"/>
      <c r="M488" s="17" t="str">
        <f t="shared" si="34"/>
        <v>要回答</v>
      </c>
    </row>
    <row r="489" ht="54.0" customHeight="1" outlineLevel="1">
      <c r="A489" s="16"/>
      <c r="B489" s="16"/>
      <c r="C489" s="16"/>
      <c r="D489" s="16"/>
      <c r="E489" s="16"/>
      <c r="F489" s="16"/>
      <c r="G489" s="27" t="str">
        <f>IF($M$480="✖ 回答不要","【回答不要】 ","")&amp;"  └ 外部・インターネット境界の通信制御ルールや、動的ルール設定のポリシーを見直している"</f>
        <v>  └ 外部・インターネット境界の通信制御ルールや、動的ルール設定のポリシーを見直している</v>
      </c>
      <c r="H489" s="14"/>
      <c r="I489" s="16"/>
      <c r="J489" s="16"/>
      <c r="K489" s="16"/>
      <c r="L489" s="20"/>
      <c r="M489" s="17" t="str">
        <f t="shared" si="34"/>
        <v>要回答</v>
      </c>
    </row>
    <row r="490" ht="54.0" customHeight="1" outlineLevel="1">
      <c r="A490" s="16"/>
      <c r="B490" s="16"/>
      <c r="C490" s="16"/>
      <c r="D490" s="16"/>
      <c r="E490" s="16"/>
      <c r="F490" s="16"/>
      <c r="G490" s="27" t="str">
        <f>IF($M$480="✖ 回答不要","【回答不要】 ","")&amp;"  └ 内部のネットワーク境界（マイクロセグメンテーション含む）の通信制御ルールや、動的ルール設定のポリシーを見直している"</f>
        <v>  └ 内部のネットワーク境界（マイクロセグメンテーション含む）の通信制御ルールや、動的ルール設定のポリシーを見直している</v>
      </c>
      <c r="H490" s="14"/>
      <c r="I490" s="16"/>
      <c r="J490" s="16"/>
      <c r="K490" s="16"/>
      <c r="L490" s="20"/>
      <c r="M490" s="17" t="str">
        <f t="shared" si="34"/>
        <v>要回答</v>
      </c>
    </row>
    <row r="491" ht="54.0" customHeight="1" outlineLevel="1">
      <c r="A491" s="16"/>
      <c r="B491" s="16"/>
      <c r="C491" s="16"/>
      <c r="D491" s="16"/>
      <c r="E491" s="16"/>
      <c r="F491" s="16"/>
      <c r="G491" s="26" t="str">
        <f>IF($M$480="✖ 回答不要","【回答不要】 ","")&amp;"その他"&amp;CHAR(10)&amp;"   └ [詳細*]"</f>
        <v>その他
   └ [詳細*]</v>
      </c>
      <c r="H491" s="14"/>
      <c r="I491" s="15"/>
      <c r="J491" s="16"/>
      <c r="K491" s="16"/>
      <c r="L491" s="15"/>
      <c r="M491" s="17" t="str">
        <f t="shared" si="34"/>
        <v>要回答</v>
      </c>
    </row>
    <row r="492" ht="54.0" customHeight="1" outlineLevel="1">
      <c r="A492" s="16"/>
      <c r="B492" s="16"/>
      <c r="C492" s="16"/>
      <c r="D492" s="16"/>
      <c r="E492" s="16"/>
      <c r="F492" s="16"/>
      <c r="G492" s="26" t="str">
        <f>IF($M$480="✖ 回答不要","【回答不要】 ","")&amp;"該当なし"</f>
        <v>該当なし</v>
      </c>
      <c r="H492" s="14"/>
      <c r="I492" s="16"/>
      <c r="J492" s="16"/>
      <c r="K492" s="16"/>
      <c r="L492" s="15"/>
      <c r="M492" s="17" t="str">
        <f t="shared" si="34"/>
        <v>要回答</v>
      </c>
    </row>
    <row r="493" ht="54.0" customHeight="1" outlineLevel="1">
      <c r="A493" s="16"/>
      <c r="B493" s="16"/>
      <c r="C493" s="16"/>
      <c r="D493" s="16"/>
      <c r="E493" s="16"/>
      <c r="F493" s="16"/>
      <c r="G493" s="26" t="str">
        <f>IF($M$480="✖ 回答不要","【回答不要】 ","")&amp;"非公開"</f>
        <v>非公開</v>
      </c>
      <c r="H493" s="14"/>
      <c r="I493" s="16"/>
      <c r="J493" s="16"/>
      <c r="K493" s="16"/>
      <c r="L493" s="15"/>
      <c r="M493" s="17" t="str">
        <f t="shared" si="34"/>
        <v>要回答</v>
      </c>
    </row>
    <row r="494" ht="54.0" customHeight="1" outlineLevel="1">
      <c r="A494" s="21">
        <v>64.0</v>
      </c>
      <c r="B494" s="22" t="str">
        <f>$M$494</f>
        <v>要回答</v>
      </c>
      <c r="C494" s="23" t="s">
        <v>30</v>
      </c>
      <c r="D494" s="23" t="s">
        <v>108</v>
      </c>
      <c r="E494" s="24" t="s">
        <v>110</v>
      </c>
      <c r="F494" s="25" t="str">
        <f>IF($M$494="✖ 回答不要","【この設問は回答不要です】"&amp;CHAR(10),"")&amp;"データフローおよびネットワーク構成の管理について、実施していることをすべて選択してください。"</f>
        <v>データフローおよびネットワーク構成の管理について、実施していることをすべて選択してください。</v>
      </c>
      <c r="G494" s="26" t="str">
        <f>IF($M$494="✖ 回答不要","【回答不要】 ","")&amp;"データフロー図やネットワーク図を作成している"</f>
        <v>データフロー図やネットワーク図を作成している</v>
      </c>
      <c r="H494" s="14"/>
      <c r="I494" s="16"/>
      <c r="J494" s="16"/>
      <c r="K494" s="16"/>
      <c r="L494" s="15"/>
      <c r="M494" s="17" t="str">
        <f t="shared" si="34"/>
        <v>要回答</v>
      </c>
    </row>
    <row r="495" ht="54.0" customHeight="1" outlineLevel="1">
      <c r="A495" s="16"/>
      <c r="B495" s="16"/>
      <c r="C495" s="16"/>
      <c r="D495" s="16"/>
      <c r="E495" s="16"/>
      <c r="F495" s="16"/>
      <c r="G495" s="26" t="str">
        <f>IF($M$494="✖ 回答不要","【回答不要】 ","")&amp;"データフロー図やネットワーク図を定期的に見直している"</f>
        <v>データフロー図やネットワーク図を定期的に見直している</v>
      </c>
      <c r="H495" s="14"/>
      <c r="I495" s="16"/>
      <c r="J495" s="16"/>
      <c r="K495" s="16"/>
      <c r="L495" s="15"/>
      <c r="M495" s="17" t="str">
        <f t="shared" si="34"/>
        <v>要回答</v>
      </c>
    </row>
    <row r="496" ht="54.0" customHeight="1" outlineLevel="1">
      <c r="A496" s="16"/>
      <c r="B496" s="16"/>
      <c r="C496" s="16"/>
      <c r="D496" s="16"/>
      <c r="E496" s="16"/>
      <c r="F496" s="16"/>
      <c r="G496" s="26" t="str">
        <f>IF($M$494="✖ 回答不要","【回答不要】 ","")&amp;"該当なし"</f>
        <v>該当なし</v>
      </c>
      <c r="H496" s="14"/>
      <c r="I496" s="16"/>
      <c r="J496" s="16"/>
      <c r="K496" s="16"/>
      <c r="L496" s="15"/>
      <c r="M496" s="17" t="str">
        <f t="shared" si="34"/>
        <v>要回答</v>
      </c>
    </row>
    <row r="497" ht="54.0" customHeight="1" outlineLevel="1">
      <c r="A497" s="16"/>
      <c r="B497" s="16"/>
      <c r="C497" s="16"/>
      <c r="D497" s="16"/>
      <c r="E497" s="16"/>
      <c r="F497" s="16"/>
      <c r="G497" s="26" t="str">
        <f>IF($M$494="✖ 回答不要","【回答不要】 ","")&amp;"非公開"</f>
        <v>非公開</v>
      </c>
      <c r="H497" s="14"/>
      <c r="I497" s="16"/>
      <c r="J497" s="16"/>
      <c r="K497" s="16"/>
      <c r="L497" s="15"/>
      <c r="M497" s="17" t="str">
        <f t="shared" si="34"/>
        <v>要回答</v>
      </c>
    </row>
    <row r="498" ht="54.0" customHeight="1" outlineLevel="1">
      <c r="A498" s="21">
        <v>65.0</v>
      </c>
      <c r="B498" s="22" t="str">
        <f>$M$498</f>
        <v>要回答</v>
      </c>
      <c r="C498" s="23" t="s">
        <v>30</v>
      </c>
      <c r="D498" s="23" t="s">
        <v>108</v>
      </c>
      <c r="E498" s="24" t="s">
        <v>111</v>
      </c>
      <c r="F498" s="25" t="str">
        <f>IF($M$498="✖ 回答不要","【この設問は回答不要です】"&amp;CHAR(10),"")&amp;"利用する業務アプリケーションのうち、インターネット公開しているシステムはありますか。"</f>
        <v>利用する業務アプリケーションのうち、インターネット公開しているシステムはありますか。</v>
      </c>
      <c r="G498" s="26" t="str">
        <f>IF($M$498="✖ 回答不要","【回答不要】 ","")&amp;"はい"</f>
        <v>はい</v>
      </c>
      <c r="H498" s="14"/>
      <c r="I498" s="16"/>
      <c r="J498" s="16"/>
      <c r="K498" s="16"/>
      <c r="L498" s="15"/>
      <c r="M498" s="17" t="str">
        <f t="shared" si="34"/>
        <v>要回答</v>
      </c>
    </row>
    <row r="499" ht="54.0" customHeight="1" outlineLevel="1">
      <c r="A499" s="16"/>
      <c r="B499" s="16"/>
      <c r="C499" s="16"/>
      <c r="D499" s="16"/>
      <c r="E499" s="16"/>
      <c r="F499" s="16"/>
      <c r="G499" s="26" t="str">
        <f>IF($M$498="✖ 回答不要","【回答不要】 ","")&amp;"いいえ"</f>
        <v>いいえ</v>
      </c>
      <c r="H499" s="14"/>
      <c r="I499" s="16"/>
      <c r="J499" s="16"/>
      <c r="K499" s="16"/>
      <c r="L499" s="15"/>
      <c r="M499" s="17" t="str">
        <f t="shared" si="34"/>
        <v>要回答</v>
      </c>
    </row>
    <row r="500" ht="54.0" customHeight="1" outlineLevel="1">
      <c r="A500" s="16"/>
      <c r="B500" s="16"/>
      <c r="C500" s="16"/>
      <c r="D500" s="16"/>
      <c r="E500" s="16"/>
      <c r="F500" s="16"/>
      <c r="G500" s="26" t="str">
        <f>IF($M$498="✖ 回答不要","【回答不要】 ","")&amp;"非公開"</f>
        <v>非公開</v>
      </c>
      <c r="H500" s="14"/>
      <c r="I500" s="16"/>
      <c r="J500" s="16"/>
      <c r="K500" s="16"/>
      <c r="L500" s="15"/>
      <c r="M500" s="17" t="str">
        <f t="shared" si="34"/>
        <v>要回答</v>
      </c>
    </row>
    <row r="501" ht="54.0" customHeight="1" outlineLevel="1">
      <c r="A501" s="21">
        <v>66.0</v>
      </c>
      <c r="B501" s="22" t="str">
        <f>$M$501</f>
        <v>要回答</v>
      </c>
      <c r="C501" s="23" t="s">
        <v>30</v>
      </c>
      <c r="D501" s="23" t="s">
        <v>108</v>
      </c>
      <c r="E501" s="24" t="s">
        <v>112</v>
      </c>
      <c r="F501" s="25" t="str">
        <f>IF($M$501="✖ 回答不要","【この設問は回答不要です】"&amp;CHAR(10),"")&amp;"インターネット公開しているシステムのネットワークセキュリティ対策について、採用しているツールやサービスを選択してください。"</f>
        <v>インターネット公開しているシステムのネットワークセキュリティ対策について、採用しているツールやサービスを選択してください。</v>
      </c>
      <c r="G501" s="26" t="str">
        <f>IF($M$501="✖ 回答不要","【回答不要】 ","")&amp;"IPSまたはIDSもしくは類似の機能"</f>
        <v>IPSまたはIDSもしくは類似の機能</v>
      </c>
      <c r="H501" s="14"/>
      <c r="I501" s="16"/>
      <c r="J501" s="16"/>
      <c r="K501" s="16"/>
      <c r="L501" s="15"/>
      <c r="M501" s="17" t="str">
        <f t="shared" ref="M501:M511" si="35">IF(OR(OR($H$38="○"),OR($H$499="○")),"✖ 回答不要","要回答")</f>
        <v>要回答</v>
      </c>
    </row>
    <row r="502" ht="54.0" customHeight="1" outlineLevel="1">
      <c r="A502" s="16"/>
      <c r="B502" s="16"/>
      <c r="C502" s="16"/>
      <c r="D502" s="16"/>
      <c r="E502" s="16"/>
      <c r="F502" s="16"/>
      <c r="G502" s="26" t="str">
        <f>IF($M$501="✖ 回答不要","【回答不要】 ","")&amp;"WAF"</f>
        <v>WAF</v>
      </c>
      <c r="H502" s="14"/>
      <c r="I502" s="16"/>
      <c r="J502" s="16"/>
      <c r="K502" s="16"/>
      <c r="L502" s="15"/>
      <c r="M502" s="17" t="str">
        <f t="shared" si="35"/>
        <v>要回答</v>
      </c>
    </row>
    <row r="503" ht="54.0" customHeight="1" outlineLevel="1">
      <c r="A503" s="16"/>
      <c r="B503" s="16"/>
      <c r="C503" s="16"/>
      <c r="D503" s="16"/>
      <c r="E503" s="16"/>
      <c r="F503" s="16"/>
      <c r="G503" s="26" t="str">
        <f>IF($M$501="✖ 回答不要","【回答不要】 ","")&amp;"DDoS攻撃対策"</f>
        <v>DDoS攻撃対策</v>
      </c>
      <c r="H503" s="14"/>
      <c r="I503" s="16"/>
      <c r="J503" s="16"/>
      <c r="K503" s="16"/>
      <c r="L503" s="15"/>
      <c r="M503" s="17" t="str">
        <f t="shared" si="35"/>
        <v>要回答</v>
      </c>
    </row>
    <row r="504" ht="54.0" customHeight="1" outlineLevel="1">
      <c r="A504" s="16"/>
      <c r="B504" s="16"/>
      <c r="C504" s="16"/>
      <c r="D504" s="16"/>
      <c r="E504" s="16"/>
      <c r="F504" s="16"/>
      <c r="G504" s="26" t="str">
        <f>IF($M$501="✖ 回答不要","【回答不要】 ","")&amp;"該当なし"</f>
        <v>該当なし</v>
      </c>
      <c r="H504" s="14"/>
      <c r="I504" s="16"/>
      <c r="J504" s="16"/>
      <c r="K504" s="16"/>
      <c r="L504" s="15"/>
      <c r="M504" s="17" t="str">
        <f t="shared" si="35"/>
        <v>要回答</v>
      </c>
    </row>
    <row r="505" ht="54.0" customHeight="1" outlineLevel="1">
      <c r="A505" s="16"/>
      <c r="B505" s="16"/>
      <c r="C505" s="16"/>
      <c r="D505" s="16"/>
      <c r="E505" s="16"/>
      <c r="F505" s="16"/>
      <c r="G505" s="26" t="str">
        <f>IF($M$501="✖ 回答不要","【回答不要】 ","")&amp;"非公開"</f>
        <v>非公開</v>
      </c>
      <c r="H505" s="14"/>
      <c r="I505" s="16"/>
      <c r="J505" s="16"/>
      <c r="K505" s="16"/>
      <c r="L505" s="15"/>
      <c r="M505" s="17" t="str">
        <f t="shared" si="35"/>
        <v>要回答</v>
      </c>
    </row>
    <row r="506" ht="54.0" customHeight="1" outlineLevel="1">
      <c r="A506" s="21">
        <v>67.0</v>
      </c>
      <c r="B506" s="22" t="str">
        <f>$M$506</f>
        <v>要回答</v>
      </c>
      <c r="C506" s="23" t="s">
        <v>30</v>
      </c>
      <c r="D506" s="23" t="s">
        <v>108</v>
      </c>
      <c r="E506" s="24" t="s">
        <v>113</v>
      </c>
      <c r="F506" s="25" t="str">
        <f>IF($M$506="✖ 回答不要","【この設問は回答不要です】"&amp;CHAR(10),"")&amp;"インターネット公開しているシステムの通信の暗号化について、実施していることをすべて選択してください。"</f>
        <v>インターネット公開しているシステムの通信の暗号化について、実施していることをすべて選択してください。</v>
      </c>
      <c r="G506" s="26" t="str">
        <f>IF($M$506="✖ 回答不要","【回答不要】 ","")&amp;"サービスへのアクセス時の通信を暗号化している"</f>
        <v>サービスへのアクセス時の通信を暗号化している</v>
      </c>
      <c r="H506" s="14"/>
      <c r="I506" s="16"/>
      <c r="J506" s="16"/>
      <c r="K506" s="16"/>
      <c r="L506" s="15"/>
      <c r="M506" s="17" t="str">
        <f t="shared" si="35"/>
        <v>要回答</v>
      </c>
    </row>
    <row r="507" ht="54.0" customHeight="1" outlineLevel="1">
      <c r="A507" s="16"/>
      <c r="B507" s="16"/>
      <c r="C507" s="16"/>
      <c r="D507" s="16"/>
      <c r="E507" s="16"/>
      <c r="F507" s="16"/>
      <c r="G507" s="26" t="str">
        <f>IF($M$506="✖ 回答不要","【回答不要】 ","")&amp;"安全なプロトコルのバージョンのみを使用して暗号化している"</f>
        <v>安全なプロトコルのバージョンのみを使用して暗号化している</v>
      </c>
      <c r="H507" s="14"/>
      <c r="I507" s="16"/>
      <c r="J507" s="16"/>
      <c r="K507" s="16"/>
      <c r="L507" s="15"/>
      <c r="M507" s="17" t="str">
        <f t="shared" si="35"/>
        <v>要回答</v>
      </c>
    </row>
    <row r="508" ht="54.0" customHeight="1" outlineLevel="1">
      <c r="A508" s="16"/>
      <c r="B508" s="16"/>
      <c r="C508" s="16"/>
      <c r="D508" s="16"/>
      <c r="E508" s="16"/>
      <c r="F508" s="16"/>
      <c r="G508" s="26" t="str">
        <f>IF($M$506="✖ 回答不要","【回答不要】 ","")&amp;"安全な暗号アルゴリズムと十分な鍵長の組み合わせのみを利用している"</f>
        <v>安全な暗号アルゴリズムと十分な鍵長の組み合わせのみを利用している</v>
      </c>
      <c r="H508" s="14"/>
      <c r="I508" s="16"/>
      <c r="J508" s="16"/>
      <c r="K508" s="16"/>
      <c r="L508" s="15"/>
      <c r="M508" s="17" t="str">
        <f t="shared" si="35"/>
        <v>要回答</v>
      </c>
    </row>
    <row r="509" ht="54.0" customHeight="1" outlineLevel="1">
      <c r="A509" s="16"/>
      <c r="B509" s="16"/>
      <c r="C509" s="16"/>
      <c r="D509" s="16"/>
      <c r="E509" s="16"/>
      <c r="F509" s="16"/>
      <c r="G509" s="26" t="str">
        <f>IF($M$506="✖ 回答不要","【回答不要】 ","")&amp;"有効期限が切れていない、信頼できる認証局が発行したサーバ証明書を利用している"</f>
        <v>有効期限が切れていない、信頼できる認証局が発行したサーバ証明書を利用している</v>
      </c>
      <c r="H509" s="14"/>
      <c r="I509" s="16"/>
      <c r="J509" s="16"/>
      <c r="K509" s="16"/>
      <c r="L509" s="15"/>
      <c r="M509" s="17" t="str">
        <f t="shared" si="35"/>
        <v>要回答</v>
      </c>
    </row>
    <row r="510" ht="54.0" customHeight="1" outlineLevel="1">
      <c r="A510" s="16"/>
      <c r="B510" s="16"/>
      <c r="C510" s="16"/>
      <c r="D510" s="16"/>
      <c r="E510" s="16"/>
      <c r="F510" s="16"/>
      <c r="G510" s="26" t="str">
        <f>IF($M$506="✖ 回答不要","【回答不要】 ","")&amp;"該当なし"</f>
        <v>該当なし</v>
      </c>
      <c r="H510" s="14"/>
      <c r="I510" s="16"/>
      <c r="J510" s="16"/>
      <c r="K510" s="16"/>
      <c r="L510" s="15"/>
      <c r="M510" s="17" t="str">
        <f t="shared" si="35"/>
        <v>要回答</v>
      </c>
    </row>
    <row r="511" ht="54.0" customHeight="1" outlineLevel="1">
      <c r="A511" s="16"/>
      <c r="B511" s="16"/>
      <c r="C511" s="16"/>
      <c r="D511" s="16"/>
      <c r="E511" s="16"/>
      <c r="F511" s="16"/>
      <c r="G511" s="26" t="str">
        <f>IF($M$506="✖ 回答不要","【回答不要】 ","")&amp;"非公開"</f>
        <v>非公開</v>
      </c>
      <c r="H511" s="14"/>
      <c r="I511" s="16"/>
      <c r="J511" s="16"/>
      <c r="K511" s="16"/>
      <c r="L511" s="15"/>
      <c r="M511" s="17" t="str">
        <f t="shared" si="35"/>
        <v>要回答</v>
      </c>
    </row>
    <row r="512" ht="54.0" customHeight="1" outlineLevel="1">
      <c r="A512" s="21">
        <v>68.0</v>
      </c>
      <c r="B512" s="22" t="str">
        <f>$M$512</f>
        <v>要回答</v>
      </c>
      <c r="C512" s="23" t="s">
        <v>30</v>
      </c>
      <c r="D512" s="23" t="s">
        <v>108</v>
      </c>
      <c r="E512" s="24" t="s">
        <v>114</v>
      </c>
      <c r="F512" s="25" t="str">
        <f>IF($M$512="✖ 回答不要","【この設問は回答不要です】"&amp;CHAR(10),"")&amp;"リモートメンテナンスを許可していますか。"</f>
        <v>リモートメンテナンスを許可していますか。</v>
      </c>
      <c r="G512" s="26" t="str">
        <f>IF($M$512="✖ 回答不要","【回答不要】 ","")&amp;"はい"</f>
        <v>はい</v>
      </c>
      <c r="H512" s="14"/>
      <c r="I512" s="16"/>
      <c r="J512" s="16"/>
      <c r="K512" s="16"/>
      <c r="L512" s="15"/>
      <c r="M512" s="17" t="str">
        <f t="shared" ref="M512:M514" si="36">IF(OR($H$38="○"),"✖ 回答不要","要回答")</f>
        <v>要回答</v>
      </c>
    </row>
    <row r="513" ht="54.0" customHeight="1" outlineLevel="1">
      <c r="A513" s="16"/>
      <c r="B513" s="16"/>
      <c r="C513" s="16"/>
      <c r="D513" s="16"/>
      <c r="E513" s="16"/>
      <c r="F513" s="16"/>
      <c r="G513" s="26" t="str">
        <f>IF($M$512="✖ 回答不要","【回答不要】 ","")&amp;"いいえ"</f>
        <v>いいえ</v>
      </c>
      <c r="H513" s="14"/>
      <c r="I513" s="16"/>
      <c r="J513" s="16"/>
      <c r="K513" s="16"/>
      <c r="L513" s="15"/>
      <c r="M513" s="17" t="str">
        <f t="shared" si="36"/>
        <v>要回答</v>
      </c>
    </row>
    <row r="514" ht="54.0" customHeight="1" outlineLevel="1">
      <c r="A514" s="16"/>
      <c r="B514" s="16"/>
      <c r="C514" s="16"/>
      <c r="D514" s="16"/>
      <c r="E514" s="16"/>
      <c r="F514" s="16"/>
      <c r="G514" s="26" t="str">
        <f>IF($M$512="✖ 回答不要","【回答不要】 ","")&amp;"非公開"</f>
        <v>非公開</v>
      </c>
      <c r="H514" s="14"/>
      <c r="I514" s="16"/>
      <c r="J514" s="16"/>
      <c r="K514" s="16"/>
      <c r="L514" s="15"/>
      <c r="M514" s="17" t="str">
        <f t="shared" si="36"/>
        <v>要回答</v>
      </c>
    </row>
    <row r="515" ht="54.0" customHeight="1" outlineLevel="1">
      <c r="A515" s="21">
        <v>69.0</v>
      </c>
      <c r="B515" s="22" t="str">
        <f>$M$515</f>
        <v>要回答</v>
      </c>
      <c r="C515" s="23" t="s">
        <v>30</v>
      </c>
      <c r="D515" s="23" t="s">
        <v>108</v>
      </c>
      <c r="E515" s="24" t="s">
        <v>115</v>
      </c>
      <c r="F515" s="25" t="str">
        <f>IF($M$515="✖ 回答不要","【この設問は回答不要です】"&amp;CHAR(10),"")&amp;"リモートメンテナンスに対するセキュリティ対策について、実施していることをすべて選択してください。"</f>
        <v>リモートメンテナンスに対するセキュリティ対策について、実施していることをすべて選択してください。</v>
      </c>
      <c r="G515" s="26" t="str">
        <f>IF($M$515="✖ 回答不要","【回答不要】 ","")&amp;"リモートアクセスを経由したときのアクセス先の限定"</f>
        <v>リモートアクセスを経由したときのアクセス先の限定</v>
      </c>
      <c r="H515" s="14"/>
      <c r="I515" s="16"/>
      <c r="J515" s="16"/>
      <c r="K515" s="16"/>
      <c r="L515" s="15"/>
      <c r="M515" s="17" t="str">
        <f t="shared" ref="M515:M523" si="37">IF(OR(OR($H$38="○"),OR($H$513="○")),"✖ 回答不要","要回答")</f>
        <v>要回答</v>
      </c>
    </row>
    <row r="516" ht="54.0" customHeight="1" outlineLevel="1">
      <c r="A516" s="16"/>
      <c r="B516" s="16"/>
      <c r="C516" s="16"/>
      <c r="D516" s="16"/>
      <c r="E516" s="16"/>
      <c r="F516" s="16"/>
      <c r="G516" s="26" t="str">
        <f>IF($M$515="✖ 回答不要","【回答不要】 ","")&amp;"セッションタイムアウト"</f>
        <v>セッションタイムアウト</v>
      </c>
      <c r="H516" s="14"/>
      <c r="I516" s="16"/>
      <c r="J516" s="16"/>
      <c r="K516" s="16"/>
      <c r="L516" s="15"/>
      <c r="M516" s="17" t="str">
        <f t="shared" si="37"/>
        <v>要回答</v>
      </c>
    </row>
    <row r="517" ht="54.0" customHeight="1" outlineLevel="1">
      <c r="A517" s="16"/>
      <c r="B517" s="16"/>
      <c r="C517" s="16"/>
      <c r="D517" s="16"/>
      <c r="E517" s="16"/>
      <c r="F517" s="16"/>
      <c r="G517" s="26" t="str">
        <f>IF($M$515="✖ 回答不要","【回答不要】 ","")&amp;"多要素認証やコールバックによる接続認証"</f>
        <v>多要素認証やコールバックによる接続認証</v>
      </c>
      <c r="H517" s="14"/>
      <c r="I517" s="16"/>
      <c r="J517" s="16"/>
      <c r="K517" s="16"/>
      <c r="L517" s="15"/>
      <c r="M517" s="17" t="str">
        <f t="shared" si="37"/>
        <v>要回答</v>
      </c>
    </row>
    <row r="518" ht="54.0" customHeight="1" outlineLevel="1">
      <c r="A518" s="16"/>
      <c r="B518" s="16"/>
      <c r="C518" s="16"/>
      <c r="D518" s="16"/>
      <c r="E518" s="16"/>
      <c r="F518" s="16"/>
      <c r="G518" s="26" t="str">
        <f>IF($M$515="✖ 回答不要","【回答不要】 ","")&amp;"接続元デバイスの設定やバージョン情報等の確認（デバイスポスチャ）"</f>
        <v>接続元デバイスの設定やバージョン情報等の確認（デバイスポスチャ）</v>
      </c>
      <c r="H518" s="14"/>
      <c r="I518" s="16"/>
      <c r="J518" s="16"/>
      <c r="K518" s="16"/>
      <c r="L518" s="15"/>
      <c r="M518" s="17" t="str">
        <f t="shared" si="37"/>
        <v>要回答</v>
      </c>
    </row>
    <row r="519" ht="54.0" customHeight="1" outlineLevel="1">
      <c r="A519" s="16"/>
      <c r="B519" s="16"/>
      <c r="C519" s="16"/>
      <c r="D519" s="16"/>
      <c r="E519" s="16"/>
      <c r="F519" s="16"/>
      <c r="G519" s="26" t="str">
        <f>IF($M$515="✖ 回答不要","【回答不要】 ","")&amp;"通信暗号化"</f>
        <v>通信暗号化</v>
      </c>
      <c r="H519" s="14"/>
      <c r="I519" s="16"/>
      <c r="J519" s="16"/>
      <c r="K519" s="16"/>
      <c r="L519" s="15"/>
      <c r="M519" s="17" t="str">
        <f t="shared" si="37"/>
        <v>要回答</v>
      </c>
    </row>
    <row r="520" ht="54.0" customHeight="1" outlineLevel="1">
      <c r="A520" s="16"/>
      <c r="B520" s="16"/>
      <c r="C520" s="16"/>
      <c r="D520" s="16"/>
      <c r="E520" s="16"/>
      <c r="F520" s="16"/>
      <c r="G520" s="26" t="str">
        <f>IF($M$515="✖ 回答不要","【回答不要】 ","")&amp;"リモートアクセスに対する監視"</f>
        <v>リモートアクセスに対する監視</v>
      </c>
      <c r="H520" s="14"/>
      <c r="I520" s="16"/>
      <c r="J520" s="16"/>
      <c r="K520" s="16"/>
      <c r="L520" s="15"/>
      <c r="M520" s="17" t="str">
        <f t="shared" si="37"/>
        <v>要回答</v>
      </c>
    </row>
    <row r="521" ht="54.0" customHeight="1" outlineLevel="1">
      <c r="A521" s="16"/>
      <c r="B521" s="16"/>
      <c r="C521" s="16"/>
      <c r="D521" s="16"/>
      <c r="E521" s="16"/>
      <c r="F521" s="16"/>
      <c r="G521" s="26" t="str">
        <f>IF($M$515="✖ 回答不要","【回答不要】 ","")&amp;"その他"&amp;CHAR(10)&amp;"   └ [詳細*]"</f>
        <v>その他
   └ [詳細*]</v>
      </c>
      <c r="H521" s="14"/>
      <c r="I521" s="15"/>
      <c r="J521" s="16"/>
      <c r="K521" s="16"/>
      <c r="L521" s="15"/>
      <c r="M521" s="17" t="str">
        <f t="shared" si="37"/>
        <v>要回答</v>
      </c>
    </row>
    <row r="522" ht="54.0" customHeight="1" outlineLevel="1">
      <c r="A522" s="16"/>
      <c r="B522" s="16"/>
      <c r="C522" s="16"/>
      <c r="D522" s="16"/>
      <c r="E522" s="16"/>
      <c r="F522" s="16"/>
      <c r="G522" s="26" t="str">
        <f>IF($M$515="✖ 回答不要","【回答不要】 ","")&amp;"該当なし"</f>
        <v>該当なし</v>
      </c>
      <c r="H522" s="14"/>
      <c r="I522" s="16"/>
      <c r="J522" s="16"/>
      <c r="K522" s="16"/>
      <c r="L522" s="15"/>
      <c r="M522" s="17" t="str">
        <f t="shared" si="37"/>
        <v>要回答</v>
      </c>
    </row>
    <row r="523" ht="54.0" customHeight="1" outlineLevel="1">
      <c r="A523" s="16"/>
      <c r="B523" s="16"/>
      <c r="C523" s="16"/>
      <c r="D523" s="16"/>
      <c r="E523" s="16"/>
      <c r="F523" s="16"/>
      <c r="G523" s="26" t="str">
        <f>IF($M$515="✖ 回答不要","【回答不要】 ","")&amp;"非公開"</f>
        <v>非公開</v>
      </c>
      <c r="H523" s="14"/>
      <c r="I523" s="16"/>
      <c r="J523" s="16"/>
      <c r="K523" s="16"/>
      <c r="L523" s="15"/>
      <c r="M523" s="17" t="str">
        <f t="shared" si="37"/>
        <v>要回答</v>
      </c>
    </row>
    <row r="524" ht="54.0" customHeight="1">
      <c r="A524" s="5"/>
      <c r="B524" s="6"/>
      <c r="C524" s="6"/>
      <c r="D524" s="6"/>
      <c r="E524" s="6"/>
      <c r="F524" s="6"/>
      <c r="G524" s="6"/>
      <c r="H524" s="6"/>
      <c r="I524" s="6"/>
      <c r="J524" s="6"/>
      <c r="K524" s="6"/>
      <c r="L524" s="6"/>
      <c r="M524" s="7"/>
    </row>
    <row r="525" ht="54.0" customHeight="1" outlineLevel="1">
      <c r="A525" s="21">
        <v>70.0</v>
      </c>
      <c r="B525" s="22" t="str">
        <f>$M$525</f>
        <v>要回答</v>
      </c>
      <c r="C525" s="23" t="s">
        <v>30</v>
      </c>
      <c r="D525" s="23" t="s">
        <v>116</v>
      </c>
      <c r="E525" s="24" t="s">
        <v>117</v>
      </c>
      <c r="F525" s="25" t="str">
        <f>IF($M$525="✖ 回答不要","【この設問は回答不要です】"&amp;CHAR(10),"")&amp;"システムの取得、開発および保守におけるルールやプロセスを定めていますか。"</f>
        <v>システムの取得、開発および保守におけるルールやプロセスを定めていますか。</v>
      </c>
      <c r="G525" s="26" t="str">
        <f>IF($M$525="✖ 回答不要","【回答不要】 ","")&amp;"はい"</f>
        <v>はい</v>
      </c>
      <c r="H525" s="14"/>
      <c r="I525" s="16"/>
      <c r="J525" s="16"/>
      <c r="K525" s="16"/>
      <c r="L525" s="15"/>
      <c r="M525" s="17" t="str">
        <f t="shared" ref="M525:M535" si="38">IF(OR($H$38="○"),"✖ 回答不要","要回答")</f>
        <v>要回答</v>
      </c>
    </row>
    <row r="526" ht="54.0" customHeight="1" outlineLevel="1">
      <c r="A526" s="16"/>
      <c r="B526" s="16"/>
      <c r="C526" s="16"/>
      <c r="D526" s="16"/>
      <c r="E526" s="16"/>
      <c r="F526" s="16"/>
      <c r="G526" s="26" t="str">
        <f>IF($M$525="✖ 回答不要","【回答不要】 ","")&amp;"いいえ"</f>
        <v>いいえ</v>
      </c>
      <c r="H526" s="14"/>
      <c r="I526" s="16"/>
      <c r="J526" s="16"/>
      <c r="K526" s="16"/>
      <c r="L526" s="15"/>
      <c r="M526" s="17" t="str">
        <f t="shared" si="38"/>
        <v>要回答</v>
      </c>
    </row>
    <row r="527" ht="54.0" customHeight="1" outlineLevel="1">
      <c r="A527" s="16"/>
      <c r="B527" s="16"/>
      <c r="C527" s="16"/>
      <c r="D527" s="16"/>
      <c r="E527" s="16"/>
      <c r="F527" s="16"/>
      <c r="G527" s="26" t="str">
        <f>IF($M$525="✖ 回答不要","【回答不要】 ","")&amp;"非公開"</f>
        <v>非公開</v>
      </c>
      <c r="H527" s="14"/>
      <c r="I527" s="16"/>
      <c r="J527" s="16"/>
      <c r="K527" s="16"/>
      <c r="L527" s="15"/>
      <c r="M527" s="17" t="str">
        <f t="shared" si="38"/>
        <v>要回答</v>
      </c>
    </row>
    <row r="528" ht="54.0" customHeight="1" outlineLevel="1">
      <c r="A528" s="21">
        <v>71.0</v>
      </c>
      <c r="B528" s="22" t="str">
        <f>$M$528</f>
        <v>要回答</v>
      </c>
      <c r="C528" s="23" t="s">
        <v>30</v>
      </c>
      <c r="D528" s="23" t="s">
        <v>116</v>
      </c>
      <c r="E528" s="24" t="s">
        <v>118</v>
      </c>
      <c r="F528" s="25" t="str">
        <f>IF($M$528="✖ 回答不要","【この設問は回答不要です】"&amp;CHAR(10),"")&amp;"システムの取得、開発および保守において、実施していることをすべて選択してください。"</f>
        <v>システムの取得、開発および保守において、実施していることをすべて選択してください。</v>
      </c>
      <c r="G528" s="26" t="str">
        <f>IF($M$528="✖ 回答不要","【回答不要】 ","")&amp;"コーディング規約などを定め、セキュアコーディングを実施している"</f>
        <v>コーディング規約などを定め、セキュアコーディングを実施している</v>
      </c>
      <c r="H528" s="14"/>
      <c r="I528" s="16"/>
      <c r="J528" s="16"/>
      <c r="K528" s="16"/>
      <c r="L528" s="15"/>
      <c r="M528" s="17" t="str">
        <f t="shared" si="38"/>
        <v>要回答</v>
      </c>
    </row>
    <row r="529" ht="54.0" customHeight="1" outlineLevel="1">
      <c r="A529" s="16"/>
      <c r="B529" s="16"/>
      <c r="C529" s="16"/>
      <c r="D529" s="16"/>
      <c r="E529" s="16"/>
      <c r="F529" s="16"/>
      <c r="G529" s="26" t="str">
        <f>IF($M$528="✖ 回答不要","【回答不要】 ","")&amp;"ソースコードのレビューをしている"</f>
        <v>ソースコードのレビューをしている</v>
      </c>
      <c r="H529" s="14"/>
      <c r="I529" s="16"/>
      <c r="J529" s="16"/>
      <c r="K529" s="16"/>
      <c r="L529" s="15"/>
      <c r="M529" s="17" t="str">
        <f t="shared" si="38"/>
        <v>要回答</v>
      </c>
    </row>
    <row r="530" ht="54.0" customHeight="1" outlineLevel="1">
      <c r="A530" s="16"/>
      <c r="B530" s="16"/>
      <c r="C530" s="16"/>
      <c r="D530" s="16"/>
      <c r="E530" s="16"/>
      <c r="F530" s="16"/>
      <c r="G530" s="27" t="str">
        <f>IF($M$528="✖ 回答不要","【回答不要】 ","")&amp;"  └ 人による確認"</f>
        <v>  └ 人による確認</v>
      </c>
      <c r="H530" s="14"/>
      <c r="I530" s="16"/>
      <c r="J530" s="16"/>
      <c r="K530" s="16"/>
      <c r="L530" s="20"/>
      <c r="M530" s="17" t="str">
        <f t="shared" si="38"/>
        <v>要回答</v>
      </c>
    </row>
    <row r="531" ht="54.0" customHeight="1" outlineLevel="1">
      <c r="A531" s="16"/>
      <c r="B531" s="16"/>
      <c r="C531" s="16"/>
      <c r="D531" s="16"/>
      <c r="E531" s="16"/>
      <c r="F531" s="16"/>
      <c r="G531" s="27" t="str">
        <f>IF($M$528="✖ 回答不要","【回答不要】 ","")&amp;"  └ SASTなどのツールを用いた自動検証"</f>
        <v>  └ SASTなどのツールを用いた自動検証</v>
      </c>
      <c r="H531" s="14"/>
      <c r="I531" s="16"/>
      <c r="J531" s="16"/>
      <c r="K531" s="16"/>
      <c r="L531" s="20"/>
      <c r="M531" s="17" t="str">
        <f t="shared" si="38"/>
        <v>要回答</v>
      </c>
    </row>
    <row r="532" ht="54.0" customHeight="1" outlineLevel="1">
      <c r="A532" s="16"/>
      <c r="B532" s="16"/>
      <c r="C532" s="16"/>
      <c r="D532" s="16"/>
      <c r="E532" s="16"/>
      <c r="F532" s="16"/>
      <c r="G532" s="26" t="str">
        <f>IF($M$528="✖ 回答不要","【回答不要】 ","")&amp;"システムで利用しているOSSを把握している"</f>
        <v>システムで利用しているOSSを把握している</v>
      </c>
      <c r="H532" s="14"/>
      <c r="I532" s="16"/>
      <c r="J532" s="16"/>
      <c r="K532" s="16"/>
      <c r="L532" s="15"/>
      <c r="M532" s="17" t="str">
        <f t="shared" si="38"/>
        <v>要回答</v>
      </c>
    </row>
    <row r="533" ht="54.0" customHeight="1" outlineLevel="1">
      <c r="A533" s="16"/>
      <c r="B533" s="16"/>
      <c r="C533" s="16"/>
      <c r="D533" s="16"/>
      <c r="E533" s="16"/>
      <c r="F533" s="16"/>
      <c r="G533" s="26" t="str">
        <f>IF($M$528="✖ 回答不要","【回答不要】 ","")&amp;"その他"&amp;CHAR(10)&amp;"   └ [詳細*]"</f>
        <v>その他
   └ [詳細*]</v>
      </c>
      <c r="H533" s="14"/>
      <c r="I533" s="15"/>
      <c r="J533" s="16"/>
      <c r="K533" s="16"/>
      <c r="L533" s="15"/>
      <c r="M533" s="17" t="str">
        <f t="shared" si="38"/>
        <v>要回答</v>
      </c>
    </row>
    <row r="534" ht="54.0" customHeight="1" outlineLevel="1">
      <c r="A534" s="16"/>
      <c r="B534" s="16"/>
      <c r="C534" s="16"/>
      <c r="D534" s="16"/>
      <c r="E534" s="16"/>
      <c r="F534" s="16"/>
      <c r="G534" s="26" t="str">
        <f>IF($M$528="✖ 回答不要","【回答不要】 ","")&amp;"該当なし"</f>
        <v>該当なし</v>
      </c>
      <c r="H534" s="14"/>
      <c r="I534" s="16"/>
      <c r="J534" s="16"/>
      <c r="K534" s="16"/>
      <c r="L534" s="15"/>
      <c r="M534" s="17" t="str">
        <f t="shared" si="38"/>
        <v>要回答</v>
      </c>
    </row>
    <row r="535" ht="54.0" customHeight="1" outlineLevel="1">
      <c r="A535" s="16"/>
      <c r="B535" s="16"/>
      <c r="C535" s="16"/>
      <c r="D535" s="16"/>
      <c r="E535" s="16"/>
      <c r="F535" s="16"/>
      <c r="G535" s="26" t="str">
        <f>IF($M$528="✖ 回答不要","【回答不要】 ","")&amp;"非公開"</f>
        <v>非公開</v>
      </c>
      <c r="H535" s="14"/>
      <c r="I535" s="16"/>
      <c r="J535" s="16"/>
      <c r="K535" s="16"/>
      <c r="L535" s="15"/>
      <c r="M535" s="17" t="str">
        <f t="shared" si="38"/>
        <v>要回答</v>
      </c>
    </row>
    <row r="536" ht="54.0" customHeight="1">
      <c r="A536" s="5"/>
      <c r="B536" s="6"/>
      <c r="C536" s="6"/>
      <c r="D536" s="6"/>
      <c r="E536" s="6"/>
      <c r="F536" s="6"/>
      <c r="G536" s="6"/>
      <c r="H536" s="6"/>
      <c r="I536" s="6"/>
      <c r="J536" s="6"/>
      <c r="K536" s="6"/>
      <c r="L536" s="6"/>
      <c r="M536" s="7"/>
    </row>
    <row r="537" ht="54.0" customHeight="1" outlineLevel="1">
      <c r="A537" s="21">
        <v>72.0</v>
      </c>
      <c r="B537" s="22" t="str">
        <f>$M$537</f>
        <v>要回答</v>
      </c>
      <c r="C537" s="23" t="s">
        <v>30</v>
      </c>
      <c r="D537" s="23" t="s">
        <v>119</v>
      </c>
      <c r="E537" s="24" t="s">
        <v>120</v>
      </c>
      <c r="F537" s="25" t="str">
        <f>IF($M$537="✖ 回答不要","【この設問は回答不要です】"&amp;CHAR(10),"")&amp;"自然災害や大規模なシステム障害、セキュリティインシデントに備えてリカバリ計画およびコンティンジェンシープランを策定し、定期的な訓練または見直しで実現性を確認していますか。"</f>
        <v>自然災害や大規模なシステム障害、セキュリティインシデントに備えてリカバリ計画およびコンティンジェンシープランを策定し、定期的な訓練または見直しで実現性を確認していますか。</v>
      </c>
      <c r="G537" s="26" t="str">
        <f>IF($M$537="✖ 回答不要","【回答不要】 ","")&amp;"リカバリ計画およびコンティンジェンシープランを策定している"</f>
        <v>リカバリ計画およびコンティンジェンシープランを策定している</v>
      </c>
      <c r="H537" s="14"/>
      <c r="I537" s="16"/>
      <c r="J537" s="16"/>
      <c r="K537" s="16"/>
      <c r="L537" s="15"/>
      <c r="M537" s="17" t="str">
        <f t="shared" ref="M537:M550" si="39">IF(OR($H$38="○"),"✖ 回答不要","要回答")</f>
        <v>要回答</v>
      </c>
    </row>
    <row r="538" ht="54.0" customHeight="1" outlineLevel="1">
      <c r="A538" s="16"/>
      <c r="B538" s="16"/>
      <c r="C538" s="16"/>
      <c r="D538" s="16"/>
      <c r="E538" s="16"/>
      <c r="F538" s="16"/>
      <c r="G538" s="26" t="str">
        <f>IF($M$537="✖ 回答不要","【回答不要】 ","")&amp;"リカバリ計画およびコンティンジェンシープランを定期的に見直している"</f>
        <v>リカバリ計画およびコンティンジェンシープランを定期的に見直している</v>
      </c>
      <c r="H538" s="14"/>
      <c r="I538" s="16"/>
      <c r="J538" s="16"/>
      <c r="K538" s="16"/>
      <c r="L538" s="15"/>
      <c r="M538" s="17" t="str">
        <f t="shared" si="39"/>
        <v>要回答</v>
      </c>
    </row>
    <row r="539" ht="54.0" customHeight="1" outlineLevel="1">
      <c r="A539" s="16"/>
      <c r="B539" s="16"/>
      <c r="C539" s="16"/>
      <c r="D539" s="16"/>
      <c r="E539" s="16"/>
      <c r="F539" s="16"/>
      <c r="G539" s="26" t="str">
        <f>IF($M$537="✖ 回答不要","【回答不要】 ","")&amp;"リカバリ計画およびコンティンジェンシープランの実現性を確認するための訓練を定期的に実施している"</f>
        <v>リカバリ計画およびコンティンジェンシープランの実現性を確認するための訓練を定期的に実施している</v>
      </c>
      <c r="H539" s="14"/>
      <c r="I539" s="16"/>
      <c r="J539" s="16"/>
      <c r="K539" s="16"/>
      <c r="L539" s="15"/>
      <c r="M539" s="17" t="str">
        <f t="shared" si="39"/>
        <v>要回答</v>
      </c>
    </row>
    <row r="540" ht="54.0" customHeight="1" outlineLevel="1">
      <c r="A540" s="16"/>
      <c r="B540" s="16"/>
      <c r="C540" s="16"/>
      <c r="D540" s="16"/>
      <c r="E540" s="16"/>
      <c r="F540" s="16"/>
      <c r="G540" s="27" t="str">
        <f>IF($M$537="✖ 回答不要","【回答不要】 ","")&amp;"  └ 実機訓練の実施"</f>
        <v>  └ 実機訓練の実施</v>
      </c>
      <c r="H540" s="14"/>
      <c r="I540" s="16"/>
      <c r="J540" s="16"/>
      <c r="K540" s="16"/>
      <c r="L540" s="20"/>
      <c r="M540" s="17" t="str">
        <f t="shared" si="39"/>
        <v>要回答</v>
      </c>
    </row>
    <row r="541" ht="54.0" customHeight="1" outlineLevel="1">
      <c r="A541" s="16"/>
      <c r="B541" s="16"/>
      <c r="C541" s="16"/>
      <c r="D541" s="16"/>
      <c r="E541" s="16"/>
      <c r="F541" s="16"/>
      <c r="G541" s="27" t="str">
        <f>IF($M$537="✖ 回答不要","【回答不要】 ","")&amp;"  └ 机上訓練の実施"</f>
        <v>  └ 机上訓練の実施</v>
      </c>
      <c r="H541" s="14"/>
      <c r="I541" s="16"/>
      <c r="J541" s="16"/>
      <c r="K541" s="16"/>
      <c r="L541" s="20"/>
      <c r="M541" s="17" t="str">
        <f t="shared" si="39"/>
        <v>要回答</v>
      </c>
    </row>
    <row r="542" ht="54.0" customHeight="1" outlineLevel="1">
      <c r="A542" s="16"/>
      <c r="B542" s="16"/>
      <c r="C542" s="16"/>
      <c r="D542" s="16"/>
      <c r="E542" s="16"/>
      <c r="F542" s="16"/>
      <c r="G542" s="27" t="str">
        <f>IF($M$537="✖ 回答不要","【回答不要】 ","")&amp;"  └ 情報セキュリティ管理の責任者の訓練への参加"</f>
        <v>  └ 情報セキュリティ管理の責任者の訓練への参加</v>
      </c>
      <c r="H542" s="14"/>
      <c r="I542" s="16"/>
      <c r="J542" s="16"/>
      <c r="K542" s="16"/>
      <c r="L542" s="20"/>
      <c r="M542" s="17" t="str">
        <f t="shared" si="39"/>
        <v>要回答</v>
      </c>
    </row>
    <row r="543" ht="54.0" customHeight="1" outlineLevel="1">
      <c r="A543" s="16"/>
      <c r="B543" s="16"/>
      <c r="C543" s="16"/>
      <c r="D543" s="16"/>
      <c r="E543" s="16"/>
      <c r="F543" s="16"/>
      <c r="G543" s="26" t="str">
        <f>IF($M$537="✖ 回答不要","【回答不要】 ","")&amp;"（取引元からの要請があった場合、かつ、契約に該当する内容がある場合に）取引元の演習・訓練に参加している"</f>
        <v>（取引元からの要請があった場合、かつ、契約に該当する内容がある場合に）取引元の演習・訓練に参加している</v>
      </c>
      <c r="H543" s="14"/>
      <c r="I543" s="16"/>
      <c r="J543" s="16"/>
      <c r="K543" s="16"/>
      <c r="L543" s="15"/>
      <c r="M543" s="17" t="str">
        <f t="shared" si="39"/>
        <v>要回答</v>
      </c>
    </row>
    <row r="544" ht="54.0" customHeight="1" outlineLevel="1">
      <c r="A544" s="16"/>
      <c r="B544" s="16"/>
      <c r="C544" s="16"/>
      <c r="D544" s="16"/>
      <c r="E544" s="16"/>
      <c r="F544" s="16"/>
      <c r="G544" s="26" t="str">
        <f>IF($M$537="✖ 回答不要","【回答不要】 ","")&amp;"該当なし"</f>
        <v>該当なし</v>
      </c>
      <c r="H544" s="14"/>
      <c r="I544" s="16"/>
      <c r="J544" s="16"/>
      <c r="K544" s="16"/>
      <c r="L544" s="15"/>
      <c r="M544" s="17" t="str">
        <f t="shared" si="39"/>
        <v>要回答</v>
      </c>
    </row>
    <row r="545" ht="54.0" customHeight="1" outlineLevel="1">
      <c r="A545" s="16"/>
      <c r="B545" s="16"/>
      <c r="C545" s="16"/>
      <c r="D545" s="16"/>
      <c r="E545" s="16"/>
      <c r="F545" s="16"/>
      <c r="G545" s="26" t="str">
        <f>IF($M$537="✖ 回答不要","【回答不要】 ","")&amp;"非公開"</f>
        <v>非公開</v>
      </c>
      <c r="H545" s="14"/>
      <c r="I545" s="16"/>
      <c r="J545" s="16"/>
      <c r="K545" s="16"/>
      <c r="L545" s="15"/>
      <c r="M545" s="17" t="str">
        <f t="shared" si="39"/>
        <v>要回答</v>
      </c>
    </row>
    <row r="546" ht="54.0" customHeight="1" outlineLevel="1">
      <c r="A546" s="21">
        <v>73.0</v>
      </c>
      <c r="B546" s="22" t="str">
        <f>$M$546</f>
        <v>要回答</v>
      </c>
      <c r="C546" s="23" t="s">
        <v>30</v>
      </c>
      <c r="D546" s="23" t="s">
        <v>119</v>
      </c>
      <c r="E546" s="24" t="s">
        <v>121</v>
      </c>
      <c r="F546" s="25" t="str">
        <f>IF($M$546="✖ 回答不要","【この設問は回答不要です】"&amp;CHAR(10),"")&amp;"自然災害や大規模なシステム障害、セキュリティインシデントに対応するため、冗長性を備えたシステム構成になっていますか。"</f>
        <v>自然災害や大規模なシステム障害、セキュリティインシデントに対応するため、冗長性を備えたシステム構成になっていますか。</v>
      </c>
      <c r="G546" s="26" t="str">
        <f>IF($M$546="✖ 回答不要","【回答不要】 ","")&amp;"国や地域に跨って冗長化されたシステム構成となっている（例：マルチリージョンや遠隔地のデータセンター利用）"</f>
        <v>国や地域に跨って冗長化されたシステム構成となっている（例：マルチリージョンや遠隔地のデータセンター利用）</v>
      </c>
      <c r="H546" s="14"/>
      <c r="I546" s="16"/>
      <c r="J546" s="16"/>
      <c r="K546" s="16"/>
      <c r="L546" s="15"/>
      <c r="M546" s="17" t="str">
        <f t="shared" si="39"/>
        <v>要回答</v>
      </c>
    </row>
    <row r="547" ht="54.0" customHeight="1" outlineLevel="1">
      <c r="A547" s="16"/>
      <c r="B547" s="16"/>
      <c r="C547" s="16"/>
      <c r="D547" s="16"/>
      <c r="E547" s="16"/>
      <c r="F547" s="16"/>
      <c r="G547" s="26" t="str">
        <f>IF($M$546="✖ 回答不要","【回答不要】 ","")&amp;"同一地域内の複数拠点に跨って冗長化されたシステム構成となっている（例：マルチAZや近郊データセンターの利用）"</f>
        <v>同一地域内の複数拠点に跨って冗長化されたシステム構成となっている（例：マルチAZや近郊データセンターの利用）</v>
      </c>
      <c r="H547" s="14"/>
      <c r="I547" s="16"/>
      <c r="J547" s="16"/>
      <c r="K547" s="16"/>
      <c r="L547" s="15"/>
      <c r="M547" s="17" t="str">
        <f t="shared" si="39"/>
        <v>要回答</v>
      </c>
    </row>
    <row r="548" ht="54.0" customHeight="1" outlineLevel="1">
      <c r="A548" s="16"/>
      <c r="B548" s="16"/>
      <c r="C548" s="16"/>
      <c r="D548" s="16"/>
      <c r="E548" s="16"/>
      <c r="F548" s="16"/>
      <c r="G548" s="26" t="str">
        <f>IF($M$546="✖ 回答不要","【回答不要】 ","")&amp;"単一拠点内で冗長化されたシステム構成になっている（例：シングルAZや同一データセンター内でのサーバ冗長化）"</f>
        <v>単一拠点内で冗長化されたシステム構成になっている（例：シングルAZや同一データセンター内でのサーバ冗長化）</v>
      </c>
      <c r="H548" s="14"/>
      <c r="I548" s="16"/>
      <c r="J548" s="16"/>
      <c r="K548" s="16"/>
      <c r="L548" s="15"/>
      <c r="M548" s="17" t="str">
        <f t="shared" si="39"/>
        <v>要回答</v>
      </c>
    </row>
    <row r="549" ht="54.0" customHeight="1" outlineLevel="1">
      <c r="A549" s="16"/>
      <c r="B549" s="16"/>
      <c r="C549" s="16"/>
      <c r="D549" s="16"/>
      <c r="E549" s="16"/>
      <c r="F549" s="16"/>
      <c r="G549" s="26" t="str">
        <f>IF($M$546="✖ 回答不要","【回答不要】 ","")&amp;"該当なし"</f>
        <v>該当なし</v>
      </c>
      <c r="H549" s="14"/>
      <c r="I549" s="16"/>
      <c r="J549" s="16"/>
      <c r="K549" s="16"/>
      <c r="L549" s="15"/>
      <c r="M549" s="17" t="str">
        <f t="shared" si="39"/>
        <v>要回答</v>
      </c>
    </row>
    <row r="550" ht="54.0" customHeight="1" outlineLevel="1">
      <c r="A550" s="16"/>
      <c r="B550" s="16"/>
      <c r="C550" s="16"/>
      <c r="D550" s="16"/>
      <c r="E550" s="16"/>
      <c r="F550" s="16"/>
      <c r="G550" s="26" t="str">
        <f>IF($M$546="✖ 回答不要","【回答不要】 ","")&amp;"非公開"</f>
        <v>非公開</v>
      </c>
      <c r="H550" s="14"/>
      <c r="I550" s="16"/>
      <c r="J550" s="16"/>
      <c r="K550" s="16"/>
      <c r="L550" s="15"/>
      <c r="M550" s="17" t="str">
        <f t="shared" si="39"/>
        <v>要回答</v>
      </c>
    </row>
    <row r="551" ht="54.0" customHeight="1">
      <c r="A551" s="5"/>
      <c r="B551" s="6"/>
      <c r="C551" s="6"/>
      <c r="D551" s="6"/>
      <c r="E551" s="6"/>
      <c r="F551" s="6"/>
      <c r="G551" s="6"/>
      <c r="H551" s="6"/>
      <c r="I551" s="6"/>
      <c r="J551" s="6"/>
      <c r="K551" s="6"/>
      <c r="L551" s="6"/>
      <c r="M551" s="7"/>
    </row>
    <row r="552" ht="54.0" customHeight="1" outlineLevel="1">
      <c r="A552" s="21">
        <v>74.0</v>
      </c>
      <c r="B552" s="22" t="str">
        <f>$M$552</f>
        <v>要回答</v>
      </c>
      <c r="C552" s="23" t="s">
        <v>30</v>
      </c>
      <c r="D552" s="23" t="s">
        <v>122</v>
      </c>
      <c r="E552" s="24" t="s">
        <v>123</v>
      </c>
      <c r="F552" s="25" t="str">
        <f>IF($M$552="✖ 回答不要","【この設問は回答不要です】"&amp;CHAR(10),"")&amp;"外部委託先や外部サービスの選定および管理について、方針や体制を整備していますか。"</f>
        <v>外部委託先や外部サービスの選定および管理について、方針や体制を整備していますか。</v>
      </c>
      <c r="G552" s="26" t="str">
        <f>IF($M$552="✖ 回答不要","【回答不要】 ","")&amp;"外部委託先や外部サービスのセキュリティリスク管理に関する方針や規定を策定している"</f>
        <v>外部委託先や外部サービスのセキュリティリスク管理に関する方針や規定を策定している</v>
      </c>
      <c r="H552" s="14"/>
      <c r="I552" s="16"/>
      <c r="J552" s="16"/>
      <c r="K552" s="16"/>
      <c r="L552" s="15"/>
      <c r="M552" s="17" t="str">
        <f t="shared" ref="M552:M587" si="40">"要回答"</f>
        <v>要回答</v>
      </c>
    </row>
    <row r="553" ht="54.0" customHeight="1" outlineLevel="1">
      <c r="A553" s="16"/>
      <c r="B553" s="16"/>
      <c r="C553" s="16"/>
      <c r="D553" s="16"/>
      <c r="E553" s="16"/>
      <c r="F553" s="16"/>
      <c r="G553" s="26" t="str">
        <f>IF($M$552="✖ 回答不要","【回答不要】 ","")&amp;"外部委託先や外部サービスを把握し、定期的に情報を更新する仕組みがある"</f>
        <v>外部委託先や外部サービスを把握し、定期的に情報を更新する仕組みがある</v>
      </c>
      <c r="H553" s="14"/>
      <c r="I553" s="16"/>
      <c r="J553" s="16"/>
      <c r="K553" s="16"/>
      <c r="L553" s="15"/>
      <c r="M553" s="17" t="str">
        <f t="shared" si="40"/>
        <v>要回答</v>
      </c>
    </row>
    <row r="554" ht="54.0" customHeight="1" outlineLevel="1">
      <c r="A554" s="16"/>
      <c r="B554" s="16"/>
      <c r="C554" s="16"/>
      <c r="D554" s="16"/>
      <c r="E554" s="16"/>
      <c r="F554" s="16"/>
      <c r="G554" s="27" t="str">
        <f>IF($M$552="✖ 回答不要","【回答不要】 ","")&amp;"  └ 外部委託先や外部サービスのセキュリティリスク管理を行う体制が整備（管理部署の設置や、関係部署間の連携を含めた各部署の役割及び責任の明確化）されている"</f>
        <v>  └ 外部委託先や外部サービスのセキュリティリスク管理を行う体制が整備（管理部署の設置や、関係部署間の連携を含めた各部署の役割及び責任の明確化）されている</v>
      </c>
      <c r="H554" s="14"/>
      <c r="I554" s="16"/>
      <c r="J554" s="16"/>
      <c r="K554" s="16"/>
      <c r="L554" s="20"/>
      <c r="M554" s="17" t="str">
        <f t="shared" si="40"/>
        <v>要回答</v>
      </c>
    </row>
    <row r="555" ht="54.0" customHeight="1" outlineLevel="1">
      <c r="A555" s="16"/>
      <c r="B555" s="16"/>
      <c r="C555" s="16"/>
      <c r="D555" s="16"/>
      <c r="E555" s="16"/>
      <c r="F555" s="16"/>
      <c r="G555" s="27" t="str">
        <f>IF($M$552="✖ 回答不要","【回答不要】 ","")&amp;"  └ 外部委託先や外部サービスを把握するための台帳等を作成し、管理対象を把握している"</f>
        <v>  └ 外部委託先や外部サービスを把握するための台帳等を作成し、管理対象を把握している</v>
      </c>
      <c r="H555" s="14"/>
      <c r="I555" s="16"/>
      <c r="J555" s="16"/>
      <c r="K555" s="16"/>
      <c r="L555" s="20"/>
      <c r="M555" s="17" t="str">
        <f t="shared" si="40"/>
        <v>要回答</v>
      </c>
    </row>
    <row r="556" ht="54.0" customHeight="1" outlineLevel="1">
      <c r="A556" s="16"/>
      <c r="B556" s="16"/>
      <c r="C556" s="16"/>
      <c r="D556" s="16"/>
      <c r="E556" s="16"/>
      <c r="F556" s="16"/>
      <c r="G556" s="27" t="str">
        <f>IF($M$552="✖ 回答不要","【回答不要】 ","")&amp;"  └ その他"&amp;CHAR(10)&amp;"       [詳細*]"</f>
        <v>  └ その他
       [詳細*]</v>
      </c>
      <c r="H556" s="14"/>
      <c r="I556" s="15"/>
      <c r="J556" s="16"/>
      <c r="K556" s="16"/>
      <c r="L556" s="20"/>
      <c r="M556" s="17" t="str">
        <f t="shared" si="40"/>
        <v>要回答</v>
      </c>
    </row>
    <row r="557" ht="54.0" customHeight="1" outlineLevel="1">
      <c r="A557" s="16"/>
      <c r="B557" s="16"/>
      <c r="C557" s="16"/>
      <c r="D557" s="16"/>
      <c r="E557" s="16"/>
      <c r="F557" s="16"/>
      <c r="G557" s="26" t="str">
        <f>IF($M$552="✖ 回答不要","【回答不要】 ","")&amp;"外部委託先や外部サービスを把握するための台帳等を、定期的に棚卸している"</f>
        <v>外部委託先や外部サービスを把握するための台帳等を、定期的に棚卸している</v>
      </c>
      <c r="H557" s="14"/>
      <c r="I557" s="16"/>
      <c r="J557" s="16"/>
      <c r="K557" s="16"/>
      <c r="L557" s="15"/>
      <c r="M557" s="17" t="str">
        <f t="shared" si="40"/>
        <v>要回答</v>
      </c>
    </row>
    <row r="558" ht="54.0" customHeight="1" outlineLevel="1">
      <c r="A558" s="16"/>
      <c r="B558" s="16"/>
      <c r="C558" s="16"/>
      <c r="D558" s="16"/>
      <c r="E558" s="16"/>
      <c r="F558" s="16"/>
      <c r="G558" s="26" t="str">
        <f>IF($M$552="✖ 回答不要","【回答不要】 ","")&amp;"外部委託先や外部サービスとセキュリティ対応に関する要求事項を合意し、文書化している"</f>
        <v>外部委託先や外部サービスとセキュリティ対応に関する要求事項を合意し、文書化している</v>
      </c>
      <c r="H558" s="14"/>
      <c r="I558" s="16"/>
      <c r="J558" s="16"/>
      <c r="K558" s="16"/>
      <c r="L558" s="15"/>
      <c r="M558" s="17" t="str">
        <f t="shared" si="40"/>
        <v>要回答</v>
      </c>
    </row>
    <row r="559" ht="54.0" customHeight="1" outlineLevel="1">
      <c r="A559" s="16"/>
      <c r="B559" s="16"/>
      <c r="C559" s="16"/>
      <c r="D559" s="16"/>
      <c r="E559" s="16"/>
      <c r="F559" s="16"/>
      <c r="G559" s="26" t="str">
        <f>IF($M$552="✖ 回答不要","【回答不要】 ","")&amp;"該当なし"</f>
        <v>該当なし</v>
      </c>
      <c r="H559" s="14"/>
      <c r="I559" s="16"/>
      <c r="J559" s="16"/>
      <c r="K559" s="16"/>
      <c r="L559" s="15"/>
      <c r="M559" s="17" t="str">
        <f t="shared" si="40"/>
        <v>要回答</v>
      </c>
    </row>
    <row r="560" ht="54.0" customHeight="1" outlineLevel="1">
      <c r="A560" s="16"/>
      <c r="B560" s="16"/>
      <c r="C560" s="16"/>
      <c r="D560" s="16"/>
      <c r="E560" s="16"/>
      <c r="F560" s="16"/>
      <c r="G560" s="26" t="str">
        <f>IF($M$552="✖ 回答不要","【回答不要】 ","")&amp;"非公開"</f>
        <v>非公開</v>
      </c>
      <c r="H560" s="14"/>
      <c r="I560" s="16"/>
      <c r="J560" s="16"/>
      <c r="K560" s="16"/>
      <c r="L560" s="15"/>
      <c r="M560" s="17" t="str">
        <f t="shared" si="40"/>
        <v>要回答</v>
      </c>
    </row>
    <row r="561" ht="54.0" customHeight="1" outlineLevel="1">
      <c r="A561" s="21">
        <v>75.0</v>
      </c>
      <c r="B561" s="22" t="str">
        <f>$M$561</f>
        <v>要回答</v>
      </c>
      <c r="C561" s="23" t="s">
        <v>30</v>
      </c>
      <c r="D561" s="23" t="s">
        <v>122</v>
      </c>
      <c r="E561" s="24" t="s">
        <v>124</v>
      </c>
      <c r="F561" s="25" t="str">
        <f>IF($M$561="✖ 回答不要","【この設問は回答不要です】"&amp;CHAR(10),"")&amp;"外部委託先や外部サービスに対する要求事項として合意事項をすべて選定してください。"</f>
        <v>外部委託先や外部サービスに対する要求事項として合意事項をすべて選定してください。</v>
      </c>
      <c r="G561" s="26" t="str">
        <f>IF($M$561="✖ 回答不要","【回答不要】 ","")&amp;"実施すべきセキュリティ対策や脆弱性診断"</f>
        <v>実施すべきセキュリティ対策や脆弱性診断</v>
      </c>
      <c r="H561" s="14"/>
      <c r="I561" s="16"/>
      <c r="J561" s="16"/>
      <c r="K561" s="16"/>
      <c r="L561" s="15"/>
      <c r="M561" s="17" t="str">
        <f t="shared" si="40"/>
        <v>要回答</v>
      </c>
    </row>
    <row r="562" ht="54.0" customHeight="1" outlineLevel="1">
      <c r="A562" s="16"/>
      <c r="B562" s="16"/>
      <c r="C562" s="16"/>
      <c r="D562" s="16"/>
      <c r="E562" s="16"/>
      <c r="F562" s="16"/>
      <c r="G562" s="26" t="str">
        <f>IF($M$561="✖ 回答不要","【回答不要】 ","")&amp;"セキュリティインシデント発生時の報告や対処"</f>
        <v>セキュリティインシデント発生時の報告や対処</v>
      </c>
      <c r="H562" s="14"/>
      <c r="I562" s="16"/>
      <c r="J562" s="16"/>
      <c r="K562" s="16"/>
      <c r="L562" s="15"/>
      <c r="M562" s="17" t="str">
        <f t="shared" si="40"/>
        <v>要回答</v>
      </c>
    </row>
    <row r="563" ht="54.0" customHeight="1" outlineLevel="1">
      <c r="A563" s="16"/>
      <c r="B563" s="16"/>
      <c r="C563" s="16"/>
      <c r="D563" s="16"/>
      <c r="E563" s="16"/>
      <c r="F563" s="16"/>
      <c r="G563" s="26" t="str">
        <f>IF($M$561="✖ 回答不要","【回答不要】 ","")&amp;"セキュリティ教育や研修の実施"</f>
        <v>セキュリティ教育や研修の実施</v>
      </c>
      <c r="H563" s="14"/>
      <c r="I563" s="16"/>
      <c r="J563" s="16"/>
      <c r="K563" s="16"/>
      <c r="L563" s="15"/>
      <c r="M563" s="17" t="str">
        <f t="shared" si="40"/>
        <v>要回答</v>
      </c>
    </row>
    <row r="564" ht="54.0" customHeight="1" outlineLevel="1">
      <c r="A564" s="16"/>
      <c r="B564" s="16"/>
      <c r="C564" s="16"/>
      <c r="D564" s="16"/>
      <c r="E564" s="16"/>
      <c r="F564" s="16"/>
      <c r="G564" s="26" t="str">
        <f>IF($M$561="✖ 回答不要","【回答不要】 ","")&amp;"関連法令の遵守"</f>
        <v>関連法令の遵守</v>
      </c>
      <c r="H564" s="14"/>
      <c r="I564" s="16"/>
      <c r="J564" s="16"/>
      <c r="K564" s="16"/>
      <c r="L564" s="15"/>
      <c r="M564" s="17" t="str">
        <f t="shared" si="40"/>
        <v>要回答</v>
      </c>
    </row>
    <row r="565" ht="54.0" customHeight="1" outlineLevel="1">
      <c r="A565" s="16"/>
      <c r="B565" s="16"/>
      <c r="C565" s="16"/>
      <c r="D565" s="16"/>
      <c r="E565" s="16"/>
      <c r="F565" s="16"/>
      <c r="G565" s="26" t="str">
        <f>IF($M$561="✖ 回答不要","【回答不要】 ","")&amp;"監査権"</f>
        <v>監査権</v>
      </c>
      <c r="H565" s="14"/>
      <c r="I565" s="16"/>
      <c r="J565" s="16"/>
      <c r="K565" s="16"/>
      <c r="L565" s="15"/>
      <c r="M565" s="17" t="str">
        <f t="shared" si="40"/>
        <v>要回答</v>
      </c>
    </row>
    <row r="566" ht="54.0" customHeight="1" outlineLevel="1">
      <c r="A566" s="16"/>
      <c r="B566" s="16"/>
      <c r="C566" s="16"/>
      <c r="D566" s="16"/>
      <c r="E566" s="16"/>
      <c r="F566" s="16"/>
      <c r="G566" s="26" t="str">
        <f>IF($M$561="✖ 回答不要","【回答不要】 ","")&amp;"サービスレベル"</f>
        <v>サービスレベル</v>
      </c>
      <c r="H566" s="14"/>
      <c r="I566" s="16"/>
      <c r="J566" s="16"/>
      <c r="K566" s="16"/>
      <c r="L566" s="15"/>
      <c r="M566" s="17" t="str">
        <f t="shared" si="40"/>
        <v>要回答</v>
      </c>
    </row>
    <row r="567" ht="54.0" customHeight="1" outlineLevel="1">
      <c r="A567" s="16"/>
      <c r="B567" s="16"/>
      <c r="C567" s="16"/>
      <c r="D567" s="16"/>
      <c r="E567" s="16"/>
      <c r="F567" s="16"/>
      <c r="G567" s="26" t="str">
        <f>IF($M$561="✖ 回答不要","【回答不要】 ","")&amp;"機密情報の保護（秘密保持契約の締結等）"</f>
        <v>機密情報の保護（秘密保持契約の締結等）</v>
      </c>
      <c r="H567" s="14"/>
      <c r="I567" s="16"/>
      <c r="J567" s="16"/>
      <c r="K567" s="16"/>
      <c r="L567" s="15"/>
      <c r="M567" s="17" t="str">
        <f t="shared" si="40"/>
        <v>要回答</v>
      </c>
    </row>
    <row r="568" ht="54.0" customHeight="1" outlineLevel="1">
      <c r="A568" s="16"/>
      <c r="B568" s="16"/>
      <c r="C568" s="16"/>
      <c r="D568" s="16"/>
      <c r="E568" s="16"/>
      <c r="F568" s="16"/>
      <c r="G568" s="26" t="str">
        <f>IF($M$561="✖ 回答不要","【回答不要】 ","")&amp;"その他"&amp;CHAR(10)&amp;"   └ [詳細*]"</f>
        <v>その他
   └ [詳細*]</v>
      </c>
      <c r="H568" s="14"/>
      <c r="I568" s="15"/>
      <c r="J568" s="16"/>
      <c r="K568" s="16"/>
      <c r="L568" s="15"/>
      <c r="M568" s="17" t="str">
        <f t="shared" si="40"/>
        <v>要回答</v>
      </c>
    </row>
    <row r="569" ht="54.0" customHeight="1" outlineLevel="1">
      <c r="A569" s="16"/>
      <c r="B569" s="16"/>
      <c r="C569" s="16"/>
      <c r="D569" s="16"/>
      <c r="E569" s="16"/>
      <c r="F569" s="16"/>
      <c r="G569" s="26" t="str">
        <f>IF($M$561="✖ 回答不要","【回答不要】 ","")&amp;"該当なし"</f>
        <v>該当なし</v>
      </c>
      <c r="H569" s="14"/>
      <c r="I569" s="16"/>
      <c r="J569" s="16"/>
      <c r="K569" s="16"/>
      <c r="L569" s="15"/>
      <c r="M569" s="17" t="str">
        <f t="shared" si="40"/>
        <v>要回答</v>
      </c>
    </row>
    <row r="570" ht="54.0" customHeight="1" outlineLevel="1">
      <c r="A570" s="16"/>
      <c r="B570" s="16"/>
      <c r="C570" s="16"/>
      <c r="D570" s="16"/>
      <c r="E570" s="16"/>
      <c r="F570" s="16"/>
      <c r="G570" s="26" t="str">
        <f>IF($M$561="✖ 回答不要","【回答不要】 ","")&amp;"非公開"</f>
        <v>非公開</v>
      </c>
      <c r="H570" s="14"/>
      <c r="I570" s="16"/>
      <c r="J570" s="16"/>
      <c r="K570" s="16"/>
      <c r="L570" s="15"/>
      <c r="M570" s="17" t="str">
        <f t="shared" si="40"/>
        <v>要回答</v>
      </c>
    </row>
    <row r="571" ht="54.0" customHeight="1" outlineLevel="1">
      <c r="A571" s="21">
        <v>76.0</v>
      </c>
      <c r="B571" s="22" t="str">
        <f>$M$571</f>
        <v>要回答</v>
      </c>
      <c r="C571" s="23" t="s">
        <v>30</v>
      </c>
      <c r="D571" s="23" t="s">
        <v>122</v>
      </c>
      <c r="E571" s="24" t="s">
        <v>125</v>
      </c>
      <c r="F571" s="25" t="str">
        <f>IF($M$571="✖ 回答不要","【この設問は回答不要です】"&amp;CHAR(10),"")&amp;"外部委託先や外部サービスとの合意内容が履行されているか確認していますか。"</f>
        <v>外部委託先や外部サービスとの合意内容が履行されているか確認していますか。</v>
      </c>
      <c r="G571" s="26" t="str">
        <f>IF($M$571="✖ 回答不要","【回答不要】 ","")&amp;"確認している"</f>
        <v>確認している</v>
      </c>
      <c r="H571" s="14"/>
      <c r="I571" s="16"/>
      <c r="J571" s="16"/>
      <c r="K571" s="16"/>
      <c r="L571" s="15"/>
      <c r="M571" s="17" t="str">
        <f t="shared" si="40"/>
        <v>要回答</v>
      </c>
    </row>
    <row r="572" ht="54.0" customHeight="1" outlineLevel="1">
      <c r="A572" s="16"/>
      <c r="B572" s="16"/>
      <c r="C572" s="16"/>
      <c r="D572" s="16"/>
      <c r="E572" s="16"/>
      <c r="F572" s="16"/>
      <c r="G572" s="27" t="str">
        <f>IF($M$571="✖ 回答不要","【回答不要】 ","")&amp;"  └ 契約事項について履行状況の報告を受けている"&amp;CHAR(10)&amp;"       [頻度*]"</f>
        <v>  └ 契約事項について履行状況の報告を受けている
       [頻度*]</v>
      </c>
      <c r="H572" s="14"/>
      <c r="I572" s="15"/>
      <c r="J572" s="16"/>
      <c r="K572" s="16"/>
      <c r="L572" s="20"/>
      <c r="M572" s="17" t="str">
        <f t="shared" si="40"/>
        <v>要回答</v>
      </c>
    </row>
    <row r="573" ht="54.0" customHeight="1" outlineLevel="1">
      <c r="A573" s="16"/>
      <c r="B573" s="16"/>
      <c r="C573" s="16"/>
      <c r="D573" s="16"/>
      <c r="E573" s="16"/>
      <c r="F573" s="16"/>
      <c r="G573" s="27" t="str">
        <f>IF($M$571="✖ 回答不要","【回答不要】 ","")&amp;"  └ 契約事項について履行状況の確認や監査を実施している"&amp;CHAR(10)&amp;"       [頻度*]"</f>
        <v>  └ 契約事項について履行状況の確認や監査を実施している
       [頻度*]</v>
      </c>
      <c r="H573" s="14"/>
      <c r="I573" s="15"/>
      <c r="J573" s="16"/>
      <c r="K573" s="16"/>
      <c r="L573" s="20"/>
      <c r="M573" s="17" t="str">
        <f t="shared" si="40"/>
        <v>要回答</v>
      </c>
    </row>
    <row r="574" ht="54.0" customHeight="1" outlineLevel="1">
      <c r="A574" s="16"/>
      <c r="B574" s="16"/>
      <c r="C574" s="16"/>
      <c r="D574" s="16"/>
      <c r="E574" s="16"/>
      <c r="F574" s="16"/>
      <c r="G574" s="27" t="str">
        <f>IF($M$571="✖ 回答不要","【回答不要】 ","")&amp;"  └ 契約事項やサービス仕様が変更された場合に、自社への影響を確認している"</f>
        <v>  └ 契約事項やサービス仕様が変更された場合に、自社への影響を確認している</v>
      </c>
      <c r="H574" s="14"/>
      <c r="I574" s="16"/>
      <c r="J574" s="16"/>
      <c r="K574" s="16"/>
      <c r="L574" s="20"/>
      <c r="M574" s="17" t="str">
        <f t="shared" si="40"/>
        <v>要回答</v>
      </c>
    </row>
    <row r="575" ht="54.0" customHeight="1" outlineLevel="1">
      <c r="A575" s="16"/>
      <c r="B575" s="16"/>
      <c r="C575" s="16"/>
      <c r="D575" s="16"/>
      <c r="E575" s="16"/>
      <c r="F575" s="16"/>
      <c r="G575" s="27" t="str">
        <f>IF($M$571="✖ 回答不要","【回答不要】 ","")&amp;"  └ その他"&amp;CHAR(10)&amp;"       [詳細*]"</f>
        <v>  └ その他
       [詳細*]</v>
      </c>
      <c r="H575" s="14"/>
      <c r="I575" s="15"/>
      <c r="J575" s="16"/>
      <c r="K575" s="16"/>
      <c r="L575" s="20"/>
      <c r="M575" s="17" t="str">
        <f t="shared" si="40"/>
        <v>要回答</v>
      </c>
    </row>
    <row r="576" ht="54.0" customHeight="1" outlineLevel="1">
      <c r="A576" s="16"/>
      <c r="B576" s="16"/>
      <c r="C576" s="16"/>
      <c r="D576" s="16"/>
      <c r="E576" s="16"/>
      <c r="F576" s="16"/>
      <c r="G576" s="26" t="str">
        <f>IF($M$571="✖ 回答不要","【回答不要】 ","")&amp;"該当なし"</f>
        <v>該当なし</v>
      </c>
      <c r="H576" s="14"/>
      <c r="I576" s="16"/>
      <c r="J576" s="16"/>
      <c r="K576" s="16"/>
      <c r="L576" s="15"/>
      <c r="M576" s="17" t="str">
        <f t="shared" si="40"/>
        <v>要回答</v>
      </c>
    </row>
    <row r="577" ht="54.0" customHeight="1" outlineLevel="1">
      <c r="A577" s="16"/>
      <c r="B577" s="16"/>
      <c r="C577" s="16"/>
      <c r="D577" s="16"/>
      <c r="E577" s="16"/>
      <c r="F577" s="16"/>
      <c r="G577" s="26" t="str">
        <f>IF($M$571="✖ 回答不要","【回答不要】 ","")&amp;"非公開"</f>
        <v>非公開</v>
      </c>
      <c r="H577" s="14"/>
      <c r="I577" s="16"/>
      <c r="J577" s="16"/>
      <c r="K577" s="16"/>
      <c r="L577" s="15"/>
      <c r="M577" s="17" t="str">
        <f t="shared" si="40"/>
        <v>要回答</v>
      </c>
    </row>
    <row r="578" ht="54.0" customHeight="1" outlineLevel="1">
      <c r="A578" s="21">
        <v>77.0</v>
      </c>
      <c r="B578" s="22" t="str">
        <f>$M$578</f>
        <v>要回答</v>
      </c>
      <c r="C578" s="23" t="s">
        <v>30</v>
      </c>
      <c r="D578" s="23" t="s">
        <v>122</v>
      </c>
      <c r="E578" s="24" t="s">
        <v>126</v>
      </c>
      <c r="F578" s="25" t="str">
        <f>IF($M$578="✖ 回答不要","【この設問は回答不要です】"&amp;CHAR(10),"")&amp;"外部委託先や外部サービスに対してセキュリティリスク評価を実施していますか。"</f>
        <v>外部委託先や外部サービスに対してセキュリティリスク評価を実施していますか。</v>
      </c>
      <c r="G578" s="26" t="str">
        <f>IF($M$578="✖ 回答不要","【回答不要】 ","")&amp;"取引開始前にリスク評価を実施している"</f>
        <v>取引開始前にリスク評価を実施している</v>
      </c>
      <c r="H578" s="14"/>
      <c r="I578" s="16"/>
      <c r="J578" s="16"/>
      <c r="K578" s="16"/>
      <c r="L578" s="15"/>
      <c r="M578" s="17" t="str">
        <f t="shared" si="40"/>
        <v>要回答</v>
      </c>
    </row>
    <row r="579" ht="54.0" customHeight="1" outlineLevel="1">
      <c r="A579" s="16"/>
      <c r="B579" s="16"/>
      <c r="C579" s="16"/>
      <c r="D579" s="16"/>
      <c r="E579" s="16"/>
      <c r="F579" s="16"/>
      <c r="G579" s="27" t="str">
        <f>IF($M$578="✖ 回答不要","【回答不要】 ","")&amp;"  └ 外部認証（ISO27001やSOC2など）の有無"</f>
        <v>  └ 外部認証（ISO27001やSOC2など）の有無</v>
      </c>
      <c r="H579" s="14"/>
      <c r="I579" s="16"/>
      <c r="J579" s="16"/>
      <c r="K579" s="16"/>
      <c r="L579" s="20"/>
      <c r="M579" s="17" t="str">
        <f t="shared" si="40"/>
        <v>要回答</v>
      </c>
    </row>
    <row r="580" ht="54.0" customHeight="1" outlineLevel="1">
      <c r="A580" s="16"/>
      <c r="B580" s="16"/>
      <c r="C580" s="16"/>
      <c r="D580" s="16"/>
      <c r="E580" s="16"/>
      <c r="F580" s="16"/>
      <c r="G580" s="27" t="str">
        <f>IF($M$578="✖ 回答不要","【回答不要】 ","")&amp;"  └ セキュリティ水準"</f>
        <v>  └ セキュリティ水準</v>
      </c>
      <c r="H580" s="14"/>
      <c r="I580" s="16"/>
      <c r="J580" s="16"/>
      <c r="K580" s="16"/>
      <c r="L580" s="20"/>
      <c r="M580" s="17" t="str">
        <f t="shared" si="40"/>
        <v>要回答</v>
      </c>
    </row>
    <row r="581" ht="54.0" customHeight="1" outlineLevel="1">
      <c r="A581" s="16"/>
      <c r="B581" s="16"/>
      <c r="C581" s="16"/>
      <c r="D581" s="16"/>
      <c r="E581" s="16"/>
      <c r="F581" s="16"/>
      <c r="G581" s="27" t="str">
        <f>IF($M$578="✖ 回答不要","【回答不要】 ","")&amp;"  └ 契約終了時のデータの取扱い"</f>
        <v>  └ 契約終了時のデータの取扱い</v>
      </c>
      <c r="H581" s="14"/>
      <c r="I581" s="16"/>
      <c r="J581" s="16"/>
      <c r="K581" s="16"/>
      <c r="L581" s="20"/>
      <c r="M581" s="17" t="str">
        <f t="shared" si="40"/>
        <v>要回答</v>
      </c>
    </row>
    <row r="582" ht="54.0" customHeight="1" outlineLevel="1">
      <c r="A582" s="16"/>
      <c r="B582" s="16"/>
      <c r="C582" s="16"/>
      <c r="D582" s="16"/>
      <c r="E582" s="16"/>
      <c r="F582" s="16"/>
      <c r="G582" s="27" t="str">
        <f>IF($M$578="✖ 回答不要","【回答不要】 ","")&amp;"  └ インシデント対応計画、コンティンジェンシープラン"</f>
        <v>  └ インシデント対応計画、コンティンジェンシープラン</v>
      </c>
      <c r="H582" s="14"/>
      <c r="I582" s="16"/>
      <c r="J582" s="16"/>
      <c r="K582" s="16"/>
      <c r="L582" s="20"/>
      <c r="M582" s="17" t="str">
        <f t="shared" si="40"/>
        <v>要回答</v>
      </c>
    </row>
    <row r="583" ht="54.0" customHeight="1" outlineLevel="1">
      <c r="A583" s="16"/>
      <c r="B583" s="16"/>
      <c r="C583" s="16"/>
      <c r="D583" s="16"/>
      <c r="E583" s="16"/>
      <c r="F583" s="16"/>
      <c r="G583" s="27" t="str">
        <f>IF($M$578="✖ 回答不要","【回答不要】 ","")&amp;"  └ 過去のインシデントの発生・対応状況"</f>
        <v>  └ 過去のインシデントの発生・対応状況</v>
      </c>
      <c r="H583" s="14"/>
      <c r="I583" s="16"/>
      <c r="J583" s="16"/>
      <c r="K583" s="16"/>
      <c r="L583" s="20"/>
      <c r="M583" s="17" t="str">
        <f t="shared" si="40"/>
        <v>要回答</v>
      </c>
    </row>
    <row r="584" ht="54.0" customHeight="1" outlineLevel="1">
      <c r="A584" s="16"/>
      <c r="B584" s="16"/>
      <c r="C584" s="16"/>
      <c r="D584" s="16"/>
      <c r="E584" s="16"/>
      <c r="F584" s="16"/>
      <c r="G584" s="27" t="str">
        <f>IF($M$578="✖ 回答不要","【回答不要】 ","")&amp;"  └ その他"&amp;CHAR(10)&amp;"       [詳細*]"</f>
        <v>  └ その他
       [詳細*]</v>
      </c>
      <c r="H584" s="14"/>
      <c r="I584" s="15"/>
      <c r="J584" s="16"/>
      <c r="K584" s="16"/>
      <c r="L584" s="20"/>
      <c r="M584" s="17" t="str">
        <f t="shared" si="40"/>
        <v>要回答</v>
      </c>
    </row>
    <row r="585" ht="54.0" customHeight="1" outlineLevel="1">
      <c r="A585" s="16"/>
      <c r="B585" s="16"/>
      <c r="C585" s="16"/>
      <c r="D585" s="16"/>
      <c r="E585" s="16"/>
      <c r="F585" s="16"/>
      <c r="G585" s="26" t="str">
        <f>IF($M$578="✖ 回答不要","【回答不要】 ","")&amp;"定期的にリスク評価を実施している"</f>
        <v>定期的にリスク評価を実施している</v>
      </c>
      <c r="H585" s="14"/>
      <c r="I585" s="16"/>
      <c r="J585" s="16"/>
      <c r="K585" s="16"/>
      <c r="L585" s="15"/>
      <c r="M585" s="17" t="str">
        <f t="shared" si="40"/>
        <v>要回答</v>
      </c>
    </row>
    <row r="586" ht="54.0" customHeight="1" outlineLevel="1">
      <c r="A586" s="16"/>
      <c r="B586" s="16"/>
      <c r="C586" s="16"/>
      <c r="D586" s="16"/>
      <c r="E586" s="16"/>
      <c r="F586" s="16"/>
      <c r="G586" s="26" t="str">
        <f>IF($M$578="✖ 回答不要","【回答不要】 ","")&amp;"該当なし"</f>
        <v>該当なし</v>
      </c>
      <c r="H586" s="14"/>
      <c r="I586" s="16"/>
      <c r="J586" s="16"/>
      <c r="K586" s="16"/>
      <c r="L586" s="15"/>
      <c r="M586" s="17" t="str">
        <f t="shared" si="40"/>
        <v>要回答</v>
      </c>
    </row>
    <row r="587" ht="54.0" customHeight="1" outlineLevel="1">
      <c r="A587" s="16"/>
      <c r="B587" s="16"/>
      <c r="C587" s="16"/>
      <c r="D587" s="16"/>
      <c r="E587" s="16"/>
      <c r="F587" s="16"/>
      <c r="G587" s="26" t="str">
        <f>IF($M$578="✖ 回答不要","【回答不要】 ","")&amp;"非公開"</f>
        <v>非公開</v>
      </c>
      <c r="H587" s="14"/>
      <c r="I587" s="16"/>
      <c r="J587" s="16"/>
      <c r="K587" s="16"/>
      <c r="L587" s="15"/>
      <c r="M587" s="17" t="str">
        <f t="shared" si="40"/>
        <v>要回答</v>
      </c>
    </row>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M1"/>
    <mergeCell ref="A2:M2"/>
    <mergeCell ref="A4:M4"/>
    <mergeCell ref="A41:M41"/>
    <mergeCell ref="A54:M54"/>
    <mergeCell ref="A58:M58"/>
    <mergeCell ref="A65:M65"/>
    <mergeCell ref="A404:M404"/>
    <mergeCell ref="A469:M469"/>
    <mergeCell ref="A479:M479"/>
    <mergeCell ref="A524:M524"/>
    <mergeCell ref="A536:M536"/>
    <mergeCell ref="A551:M551"/>
    <mergeCell ref="A96:M96"/>
    <mergeCell ref="A119:M119"/>
    <mergeCell ref="A132:M132"/>
    <mergeCell ref="A173:M173"/>
    <mergeCell ref="A246:M246"/>
    <mergeCell ref="A357:M357"/>
    <mergeCell ref="A363:M363"/>
  </mergeCells>
  <dataValidations>
    <dataValidation type="list" allowBlank="1" sqref="H5:H40 H42:H53 H55:H57 H59:H64 H66:H95 H97:H118 H120:H131 H133:H172 H174:H245 H247:H356 H358:H362 H364:H403 H405:H468 H470:H478 H480:H523 H525:H535 H537:H550 H552:H587">
      <formula1>"○,×"</formula1>
    </dataValidation>
  </dataValidations>
  <printOptions/>
  <pageMargins bottom="1.0" footer="0.0" header="0.0" left="0.75" right="0.75" top="1.0"/>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0"/>
    <col customWidth="1" min="2" max="4" width="30.0"/>
    <col customWidth="1" min="5" max="26" width="8.71"/>
  </cols>
  <sheetData>
    <row r="1">
      <c r="A1" s="29" t="s">
        <v>127</v>
      </c>
    </row>
    <row r="2">
      <c r="A2" s="2" t="s">
        <v>128</v>
      </c>
    </row>
    <row r="4" ht="21.75" customHeight="1">
      <c r="A4" s="30" t="s">
        <v>129</v>
      </c>
      <c r="B4" s="31"/>
      <c r="C4" s="31"/>
      <c r="D4" s="32"/>
    </row>
    <row r="5" ht="30.0" customHeight="1">
      <c r="A5" s="33" t="s">
        <v>130</v>
      </c>
      <c r="B5" s="34" t="s">
        <v>131</v>
      </c>
      <c r="C5" s="35"/>
      <c r="D5" s="35"/>
    </row>
    <row r="6" ht="30.0" customHeight="1">
      <c r="A6" s="36" t="s">
        <v>132</v>
      </c>
      <c r="B6" s="34" t="s">
        <v>133</v>
      </c>
      <c r="C6" s="35"/>
      <c r="D6" s="35"/>
    </row>
    <row r="7" ht="30.0" customHeight="1">
      <c r="A7" s="37" t="s">
        <v>134</v>
      </c>
      <c r="B7" s="34" t="s">
        <v>135</v>
      </c>
      <c r="C7" s="35"/>
      <c r="D7" s="35"/>
    </row>
    <row r="8" ht="21.75" customHeight="1">
      <c r="A8" s="30" t="s">
        <v>136</v>
      </c>
      <c r="B8" s="31"/>
      <c r="C8" s="31"/>
      <c r="D8" s="32"/>
    </row>
    <row r="9" ht="30.0" customHeight="1">
      <c r="A9" s="38" t="s">
        <v>137</v>
      </c>
      <c r="B9" s="34" t="s">
        <v>138</v>
      </c>
      <c r="C9" s="35"/>
      <c r="D9" s="35"/>
    </row>
    <row r="10" ht="21.75" customHeight="1">
      <c r="A10" s="30" t="s">
        <v>139</v>
      </c>
      <c r="B10" s="31"/>
      <c r="C10" s="31"/>
      <c r="D10" s="32"/>
    </row>
    <row r="11" ht="30.0" customHeight="1">
      <c r="A11" s="39" t="s">
        <v>140</v>
      </c>
      <c r="B11" s="34" t="s">
        <v>141</v>
      </c>
      <c r="C11" s="35"/>
      <c r="D11" s="35"/>
    </row>
    <row r="12" ht="30.0" customHeight="1">
      <c r="A12" s="40" t="s">
        <v>142</v>
      </c>
      <c r="B12" s="34" t="s">
        <v>143</v>
      </c>
      <c r="C12" s="35"/>
      <c r="D12" s="35"/>
    </row>
    <row r="13" ht="30.0" customHeight="1">
      <c r="A13" s="40" t="s">
        <v>144</v>
      </c>
      <c r="B13" s="34" t="s">
        <v>145</v>
      </c>
      <c r="C13" s="35"/>
      <c r="D13" s="35"/>
    </row>
    <row r="14" ht="21.75" customHeight="1">
      <c r="A14" s="30" t="s">
        <v>146</v>
      </c>
      <c r="B14" s="31"/>
      <c r="C14" s="31"/>
      <c r="D14" s="32"/>
    </row>
    <row r="15" ht="30.0" customHeight="1">
      <c r="A15" s="41" t="s">
        <v>147</v>
      </c>
      <c r="B15" s="34" t="s">
        <v>148</v>
      </c>
      <c r="C15" s="35"/>
      <c r="D15" s="35"/>
    </row>
    <row r="16" ht="30.0" customHeight="1">
      <c r="A16" s="42" t="s">
        <v>149</v>
      </c>
      <c r="B16" s="34" t="s">
        <v>150</v>
      </c>
      <c r="C16" s="35"/>
      <c r="D16" s="35"/>
    </row>
    <row r="17" ht="30.0" customHeight="1">
      <c r="A17" s="43" t="s">
        <v>151</v>
      </c>
      <c r="B17" s="34" t="s">
        <v>152</v>
      </c>
      <c r="C17" s="35"/>
      <c r="D17" s="35"/>
    </row>
    <row r="18" ht="21.75" customHeight="1">
      <c r="A18" s="30" t="s">
        <v>153</v>
      </c>
      <c r="B18" s="31"/>
      <c r="C18" s="31"/>
      <c r="D18" s="32"/>
    </row>
    <row r="19" ht="30.0" customHeight="1">
      <c r="A19" s="44" t="s">
        <v>2</v>
      </c>
      <c r="B19" s="34" t="s">
        <v>154</v>
      </c>
      <c r="C19" s="35"/>
      <c r="D19" s="35"/>
    </row>
    <row r="20" ht="30.0" customHeight="1">
      <c r="A20" s="45" t="s">
        <v>3</v>
      </c>
      <c r="B20" s="34" t="s">
        <v>155</v>
      </c>
      <c r="C20" s="35"/>
      <c r="D20" s="35"/>
    </row>
    <row r="21" ht="30.0" customHeight="1">
      <c r="A21" s="45" t="s">
        <v>4</v>
      </c>
      <c r="B21" s="46" t="s">
        <v>156</v>
      </c>
      <c r="C21" s="35"/>
      <c r="D21" s="35"/>
    </row>
    <row r="22" ht="30.0" customHeight="1">
      <c r="A22" s="45" t="s">
        <v>5</v>
      </c>
      <c r="B22" s="34" t="s">
        <v>157</v>
      </c>
      <c r="C22" s="35"/>
      <c r="D22" s="35"/>
    </row>
    <row r="23" ht="30.0" customHeight="1">
      <c r="A23" s="45" t="s">
        <v>6</v>
      </c>
      <c r="B23" s="34" t="s">
        <v>158</v>
      </c>
      <c r="C23" s="35"/>
      <c r="D23" s="35"/>
    </row>
    <row r="24" ht="30.0" customHeight="1">
      <c r="A24" s="45" t="s">
        <v>7</v>
      </c>
      <c r="B24" s="34" t="s">
        <v>159</v>
      </c>
      <c r="C24" s="35"/>
      <c r="D24" s="35"/>
    </row>
    <row r="25" ht="30.0" customHeight="1">
      <c r="A25" s="45" t="s">
        <v>8</v>
      </c>
      <c r="B25" s="34" t="s">
        <v>160</v>
      </c>
      <c r="C25" s="35"/>
      <c r="D25" s="35"/>
    </row>
    <row r="26" ht="30.0" customHeight="1">
      <c r="A26" s="45" t="s">
        <v>9</v>
      </c>
      <c r="B26" s="46" t="s">
        <v>161</v>
      </c>
      <c r="C26" s="35"/>
      <c r="D26" s="35"/>
    </row>
    <row r="27" ht="30.0" customHeight="1">
      <c r="A27" s="45" t="s">
        <v>162</v>
      </c>
      <c r="B27" s="34" t="s">
        <v>163</v>
      </c>
      <c r="C27" s="35"/>
      <c r="D27" s="35"/>
    </row>
    <row r="28" ht="30.0" customHeight="1">
      <c r="A28" s="45" t="s">
        <v>164</v>
      </c>
      <c r="B28" s="34" t="s">
        <v>165</v>
      </c>
      <c r="C28" s="35"/>
      <c r="D28" s="35"/>
    </row>
    <row r="29" ht="30.0" customHeight="1">
      <c r="A29" s="45" t="s">
        <v>166</v>
      </c>
      <c r="B29" s="34" t="s">
        <v>167</v>
      </c>
      <c r="C29" s="35"/>
      <c r="D29" s="35"/>
    </row>
    <row r="30" ht="21.75" customHeight="1">
      <c r="A30" s="30" t="s">
        <v>168</v>
      </c>
      <c r="B30" s="31"/>
      <c r="C30" s="31"/>
      <c r="D30" s="32"/>
    </row>
    <row r="31" ht="30.0" customHeight="1">
      <c r="A31" s="47" t="s">
        <v>169</v>
      </c>
      <c r="B31" s="34" t="s">
        <v>170</v>
      </c>
      <c r="C31" s="35"/>
      <c r="D31" s="35"/>
    </row>
    <row r="32" ht="30.0" customHeight="1">
      <c r="A32" s="48" t="s">
        <v>171</v>
      </c>
      <c r="B32" s="34" t="s">
        <v>172</v>
      </c>
      <c r="C32" s="35"/>
      <c r="D32" s="35"/>
    </row>
    <row r="33" ht="30.0" customHeight="1">
      <c r="A33" s="48" t="s">
        <v>173</v>
      </c>
      <c r="B33" s="34" t="s">
        <v>174</v>
      </c>
      <c r="C33" s="35"/>
      <c r="D33" s="35"/>
    </row>
    <row r="34" ht="21.75" customHeight="1">
      <c r="A34" s="30" t="s">
        <v>175</v>
      </c>
      <c r="B34" s="31"/>
      <c r="C34" s="31"/>
      <c r="D34" s="32"/>
    </row>
    <row r="35" ht="49.5" customHeight="1">
      <c r="A35" s="49" t="s">
        <v>176</v>
      </c>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4:D4"/>
    <mergeCell ref="B5:D5"/>
    <mergeCell ref="B6:D6"/>
    <mergeCell ref="B7:D7"/>
    <mergeCell ref="A8:D8"/>
    <mergeCell ref="B9:D9"/>
    <mergeCell ref="A10:D10"/>
    <mergeCell ref="B11:D11"/>
    <mergeCell ref="B12:D12"/>
    <mergeCell ref="B13:D13"/>
    <mergeCell ref="A14:D14"/>
    <mergeCell ref="B15:D15"/>
    <mergeCell ref="B16:D16"/>
    <mergeCell ref="B17:D17"/>
    <mergeCell ref="A18:D18"/>
    <mergeCell ref="B19:D19"/>
    <mergeCell ref="B20:D20"/>
    <mergeCell ref="B21:D21"/>
    <mergeCell ref="B22:D22"/>
    <mergeCell ref="B23:D23"/>
    <mergeCell ref="B24:D24"/>
    <mergeCell ref="B32:D32"/>
    <mergeCell ref="B33:D33"/>
    <mergeCell ref="A34:D34"/>
    <mergeCell ref="A35:D35"/>
    <mergeCell ref="B25:D25"/>
    <mergeCell ref="B26:D26"/>
    <mergeCell ref="B27:D27"/>
    <mergeCell ref="B28:D28"/>
    <mergeCell ref="B29:D29"/>
    <mergeCell ref="A30:D30"/>
    <mergeCell ref="B31:D31"/>
  </mergeCells>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12.0"/>
    <col customWidth="1" min="2" max="2" width="45.0"/>
    <col customWidth="1" min="3" max="3" width="14.0"/>
    <col customWidth="1" min="4" max="4" width="30.0"/>
    <col customWidth="1" min="5" max="5" width="50.0"/>
    <col customWidth="1" min="6" max="26" width="8.71"/>
  </cols>
  <sheetData>
    <row r="1">
      <c r="A1" s="50" t="s">
        <v>177</v>
      </c>
    </row>
    <row r="4">
      <c r="A4" s="51" t="s">
        <v>6</v>
      </c>
      <c r="B4" s="51" t="s">
        <v>7</v>
      </c>
      <c r="C4" s="51" t="s">
        <v>178</v>
      </c>
      <c r="D4" s="51" t="s">
        <v>179</v>
      </c>
      <c r="E4" s="51" t="s">
        <v>180</v>
      </c>
    </row>
    <row r="5">
      <c r="A5" s="52" t="s">
        <v>17</v>
      </c>
      <c r="B5" s="53" t="s">
        <v>181</v>
      </c>
      <c r="C5" s="53" t="s">
        <v>8</v>
      </c>
      <c r="E5" s="53" t="s">
        <v>182</v>
      </c>
    </row>
    <row r="6">
      <c r="A6" s="52" t="s">
        <v>17</v>
      </c>
      <c r="B6" s="53" t="s">
        <v>183</v>
      </c>
      <c r="C6" s="53" t="s">
        <v>8</v>
      </c>
      <c r="E6" s="53" t="s">
        <v>184</v>
      </c>
    </row>
    <row r="7">
      <c r="A7" s="52" t="s">
        <v>17</v>
      </c>
      <c r="B7" s="53" t="s">
        <v>185</v>
      </c>
      <c r="C7" s="53" t="s">
        <v>8</v>
      </c>
      <c r="E7" s="53" t="s">
        <v>186</v>
      </c>
    </row>
    <row r="8">
      <c r="A8" s="52" t="s">
        <v>17</v>
      </c>
      <c r="B8" s="53" t="s">
        <v>187</v>
      </c>
      <c r="C8" s="53" t="s">
        <v>8</v>
      </c>
      <c r="E8" s="53" t="s">
        <v>188</v>
      </c>
    </row>
    <row r="9">
      <c r="A9" s="52" t="s">
        <v>19</v>
      </c>
      <c r="B9" s="53" t="s">
        <v>189</v>
      </c>
      <c r="C9" s="53" t="s">
        <v>8</v>
      </c>
      <c r="E9" s="53" t="s">
        <v>190</v>
      </c>
    </row>
    <row r="10">
      <c r="A10" s="52" t="s">
        <v>19</v>
      </c>
      <c r="C10" s="53" t="s">
        <v>191</v>
      </c>
      <c r="D10" s="53" t="s">
        <v>190</v>
      </c>
      <c r="E10" s="53" t="s">
        <v>192</v>
      </c>
    </row>
    <row r="11">
      <c r="A11" s="52" t="s">
        <v>19</v>
      </c>
      <c r="C11" s="53" t="s">
        <v>193</v>
      </c>
      <c r="D11" s="53" t="s">
        <v>190</v>
      </c>
      <c r="E11" s="53" t="s">
        <v>194</v>
      </c>
    </row>
    <row r="12">
      <c r="A12" s="52" t="s">
        <v>19</v>
      </c>
      <c r="C12" s="53" t="s">
        <v>195</v>
      </c>
      <c r="D12" s="53" t="s">
        <v>190</v>
      </c>
      <c r="E12" s="53" t="s">
        <v>196</v>
      </c>
    </row>
    <row r="13">
      <c r="A13" s="52" t="s">
        <v>19</v>
      </c>
      <c r="C13" s="53" t="s">
        <v>197</v>
      </c>
      <c r="D13" s="53" t="s">
        <v>190</v>
      </c>
      <c r="E13" s="53" t="s">
        <v>198</v>
      </c>
    </row>
    <row r="14">
      <c r="A14" s="52" t="s">
        <v>19</v>
      </c>
      <c r="C14" s="53" t="s">
        <v>199</v>
      </c>
      <c r="D14" s="53" t="s">
        <v>190</v>
      </c>
      <c r="E14" s="53" t="s">
        <v>200</v>
      </c>
    </row>
    <row r="15">
      <c r="A15" s="52" t="s">
        <v>19</v>
      </c>
      <c r="B15" s="53" t="s">
        <v>201</v>
      </c>
      <c r="C15" s="53" t="s">
        <v>8</v>
      </c>
      <c r="E15" s="53" t="s">
        <v>202</v>
      </c>
    </row>
    <row r="16">
      <c r="A16" s="52" t="s">
        <v>19</v>
      </c>
      <c r="C16" s="53" t="s">
        <v>203</v>
      </c>
      <c r="D16" s="53" t="s">
        <v>202</v>
      </c>
      <c r="E16" s="53" t="s">
        <v>192</v>
      </c>
    </row>
    <row r="17">
      <c r="A17" s="52" t="s">
        <v>19</v>
      </c>
      <c r="C17" s="53" t="s">
        <v>204</v>
      </c>
      <c r="D17" s="53" t="s">
        <v>202</v>
      </c>
      <c r="E17" s="53" t="s">
        <v>194</v>
      </c>
    </row>
    <row r="18">
      <c r="A18" s="52" t="s">
        <v>19</v>
      </c>
      <c r="C18" s="53" t="s">
        <v>205</v>
      </c>
      <c r="D18" s="53" t="s">
        <v>202</v>
      </c>
      <c r="E18" s="53" t="s">
        <v>196</v>
      </c>
    </row>
    <row r="19">
      <c r="A19" s="52" t="s">
        <v>19</v>
      </c>
      <c r="C19" s="53" t="s">
        <v>206</v>
      </c>
      <c r="D19" s="53" t="s">
        <v>202</v>
      </c>
      <c r="E19" s="53" t="s">
        <v>198</v>
      </c>
    </row>
    <row r="20">
      <c r="A20" s="52" t="s">
        <v>19</v>
      </c>
      <c r="C20" s="53" t="s">
        <v>207</v>
      </c>
      <c r="D20" s="53" t="s">
        <v>202</v>
      </c>
      <c r="E20" s="53" t="s">
        <v>200</v>
      </c>
    </row>
    <row r="21" ht="15.75" customHeight="1">
      <c r="A21" s="52" t="s">
        <v>19</v>
      </c>
      <c r="B21" s="53" t="s">
        <v>208</v>
      </c>
      <c r="C21" s="53" t="s">
        <v>8</v>
      </c>
      <c r="E21" s="53" t="s">
        <v>186</v>
      </c>
    </row>
    <row r="22" ht="15.75" customHeight="1">
      <c r="A22" s="52" t="s">
        <v>19</v>
      </c>
      <c r="B22" s="53" t="s">
        <v>209</v>
      </c>
      <c r="C22" s="53" t="s">
        <v>8</v>
      </c>
      <c r="E22" s="53" t="s">
        <v>188</v>
      </c>
    </row>
    <row r="23" ht="15.75" customHeight="1">
      <c r="A23" s="52" t="s">
        <v>21</v>
      </c>
      <c r="B23" s="53" t="s">
        <v>210</v>
      </c>
      <c r="C23" s="53" t="s">
        <v>8</v>
      </c>
      <c r="E23" s="53" t="s">
        <v>211</v>
      </c>
    </row>
    <row r="24" ht="15.75" customHeight="1">
      <c r="A24" s="52" t="s">
        <v>21</v>
      </c>
      <c r="B24" s="53" t="s">
        <v>212</v>
      </c>
      <c r="C24" s="53" t="s">
        <v>8</v>
      </c>
      <c r="E24" s="53" t="s">
        <v>213</v>
      </c>
    </row>
    <row r="25" ht="15.75" customHeight="1">
      <c r="A25" s="52" t="s">
        <v>21</v>
      </c>
      <c r="B25" s="53" t="s">
        <v>214</v>
      </c>
      <c r="C25" s="53" t="s">
        <v>8</v>
      </c>
      <c r="E25" s="53" t="s">
        <v>186</v>
      </c>
    </row>
    <row r="26" ht="15.75" customHeight="1">
      <c r="A26" s="52" t="s">
        <v>21</v>
      </c>
      <c r="B26" s="53" t="s">
        <v>215</v>
      </c>
      <c r="C26" s="53" t="s">
        <v>8</v>
      </c>
      <c r="E26" s="53" t="s">
        <v>188</v>
      </c>
    </row>
    <row r="27" ht="15.75" customHeight="1">
      <c r="A27" s="52" t="s">
        <v>23</v>
      </c>
      <c r="B27" s="53" t="s">
        <v>216</v>
      </c>
      <c r="C27" s="53" t="s">
        <v>8</v>
      </c>
      <c r="E27" s="53" t="s">
        <v>217</v>
      </c>
    </row>
    <row r="28" ht="15.75" customHeight="1">
      <c r="A28" s="52" t="s">
        <v>23</v>
      </c>
      <c r="B28" s="53" t="s">
        <v>218</v>
      </c>
      <c r="C28" s="53" t="s">
        <v>8</v>
      </c>
      <c r="E28" s="53" t="s">
        <v>219</v>
      </c>
    </row>
    <row r="29" ht="15.75" customHeight="1">
      <c r="A29" s="52" t="s">
        <v>23</v>
      </c>
      <c r="B29" s="53" t="s">
        <v>220</v>
      </c>
      <c r="C29" s="53" t="s">
        <v>8</v>
      </c>
      <c r="E29" s="53" t="s">
        <v>221</v>
      </c>
    </row>
    <row r="30" ht="15.75" customHeight="1">
      <c r="A30" s="52" t="s">
        <v>23</v>
      </c>
      <c r="B30" s="53" t="s">
        <v>222</v>
      </c>
      <c r="C30" s="53" t="s">
        <v>8</v>
      </c>
      <c r="E30" s="53" t="s">
        <v>186</v>
      </c>
    </row>
    <row r="31" ht="15.75" customHeight="1">
      <c r="A31" s="52" t="s">
        <v>23</v>
      </c>
      <c r="B31" s="53" t="s">
        <v>223</v>
      </c>
      <c r="C31" s="53" t="s">
        <v>8</v>
      </c>
      <c r="E31" s="53" t="s">
        <v>188</v>
      </c>
    </row>
    <row r="32" ht="15.75" customHeight="1">
      <c r="A32" s="52" t="s">
        <v>25</v>
      </c>
      <c r="B32" s="53" t="s">
        <v>224</v>
      </c>
      <c r="C32" s="53" t="s">
        <v>8</v>
      </c>
      <c r="E32" s="53" t="s">
        <v>225</v>
      </c>
    </row>
    <row r="33" ht="15.75" customHeight="1">
      <c r="A33" s="52" t="s">
        <v>25</v>
      </c>
      <c r="B33" s="53" t="s">
        <v>226</v>
      </c>
      <c r="C33" s="53" t="s">
        <v>8</v>
      </c>
      <c r="E33" s="53" t="s">
        <v>227</v>
      </c>
    </row>
    <row r="34" ht="15.75" customHeight="1">
      <c r="A34" s="52" t="s">
        <v>25</v>
      </c>
      <c r="B34" s="53" t="s">
        <v>228</v>
      </c>
      <c r="C34" s="53" t="s">
        <v>8</v>
      </c>
      <c r="E34" s="53" t="s">
        <v>229</v>
      </c>
    </row>
    <row r="35" ht="15.75" customHeight="1">
      <c r="A35" s="52" t="s">
        <v>27</v>
      </c>
      <c r="B35" s="53" t="s">
        <v>230</v>
      </c>
      <c r="C35" s="53" t="s">
        <v>8</v>
      </c>
      <c r="E35" s="53" t="s">
        <v>231</v>
      </c>
    </row>
    <row r="36" ht="15.75" customHeight="1">
      <c r="A36" s="52" t="s">
        <v>27</v>
      </c>
      <c r="B36" s="53" t="s">
        <v>232</v>
      </c>
      <c r="C36" s="53" t="s">
        <v>8</v>
      </c>
      <c r="E36" s="53" t="s">
        <v>233</v>
      </c>
    </row>
    <row r="37" ht="15.75" customHeight="1">
      <c r="A37" s="52" t="s">
        <v>27</v>
      </c>
      <c r="B37" s="53" t="s">
        <v>234</v>
      </c>
      <c r="C37" s="53" t="s">
        <v>8</v>
      </c>
      <c r="E37" s="53" t="s">
        <v>235</v>
      </c>
    </row>
    <row r="38" ht="15.75" customHeight="1">
      <c r="A38" s="52" t="s">
        <v>29</v>
      </c>
      <c r="B38" s="53" t="s">
        <v>236</v>
      </c>
      <c r="C38" s="53" t="s">
        <v>8</v>
      </c>
      <c r="E38" s="53" t="s">
        <v>237</v>
      </c>
    </row>
    <row r="39" ht="15.75" customHeight="1">
      <c r="A39" s="52" t="s">
        <v>29</v>
      </c>
      <c r="B39" s="53" t="s">
        <v>238</v>
      </c>
      <c r="C39" s="53" t="s">
        <v>8</v>
      </c>
      <c r="E39" s="53" t="s">
        <v>239</v>
      </c>
    </row>
    <row r="40" ht="15.75" customHeight="1">
      <c r="A40" s="52" t="s">
        <v>29</v>
      </c>
      <c r="B40" s="53" t="s">
        <v>240</v>
      </c>
      <c r="C40" s="53" t="s">
        <v>8</v>
      </c>
      <c r="E40" s="53" t="s">
        <v>241</v>
      </c>
    </row>
    <row r="41" ht="15.75" customHeight="1">
      <c r="A41" s="52" t="s">
        <v>32</v>
      </c>
      <c r="B41" s="53" t="s">
        <v>242</v>
      </c>
      <c r="C41" s="53" t="s">
        <v>8</v>
      </c>
      <c r="E41" s="52" t="s">
        <v>243</v>
      </c>
    </row>
    <row r="42" ht="15.75" customHeight="1">
      <c r="A42" s="52" t="s">
        <v>32</v>
      </c>
      <c r="C42" s="53" t="s">
        <v>244</v>
      </c>
      <c r="D42" s="52" t="s">
        <v>243</v>
      </c>
      <c r="E42" s="53" t="s">
        <v>245</v>
      </c>
    </row>
    <row r="43" ht="15.75" customHeight="1">
      <c r="A43" s="52" t="s">
        <v>32</v>
      </c>
      <c r="C43" s="53" t="s">
        <v>246</v>
      </c>
      <c r="D43" s="52" t="s">
        <v>243</v>
      </c>
      <c r="E43" s="53" t="s">
        <v>247</v>
      </c>
    </row>
    <row r="44" ht="15.75" customHeight="1">
      <c r="A44" s="52" t="s">
        <v>32</v>
      </c>
      <c r="C44" s="53" t="s">
        <v>248</v>
      </c>
      <c r="D44" s="52" t="s">
        <v>243</v>
      </c>
      <c r="E44" s="53" t="s">
        <v>249</v>
      </c>
    </row>
    <row r="45" ht="15.75" customHeight="1">
      <c r="A45" s="52" t="s">
        <v>32</v>
      </c>
      <c r="B45" s="53" t="s">
        <v>250</v>
      </c>
      <c r="C45" s="53" t="s">
        <v>8</v>
      </c>
      <c r="E45" s="52" t="s">
        <v>251</v>
      </c>
    </row>
    <row r="46" ht="15.75" customHeight="1">
      <c r="A46" s="52" t="s">
        <v>32</v>
      </c>
      <c r="C46" s="53" t="s">
        <v>252</v>
      </c>
      <c r="D46" s="52" t="s">
        <v>251</v>
      </c>
      <c r="E46" s="53" t="s">
        <v>245</v>
      </c>
    </row>
    <row r="47" ht="15.75" customHeight="1">
      <c r="A47" s="52" t="s">
        <v>32</v>
      </c>
      <c r="C47" s="53" t="s">
        <v>253</v>
      </c>
      <c r="D47" s="52" t="s">
        <v>251</v>
      </c>
      <c r="E47" s="53" t="s">
        <v>247</v>
      </c>
    </row>
    <row r="48" ht="15.75" customHeight="1">
      <c r="A48" s="52" t="s">
        <v>32</v>
      </c>
      <c r="C48" s="53" t="s">
        <v>254</v>
      </c>
      <c r="D48" s="52" t="s">
        <v>251</v>
      </c>
      <c r="E48" s="53" t="s">
        <v>249</v>
      </c>
    </row>
    <row r="49" ht="15.75" customHeight="1">
      <c r="A49" s="52" t="s">
        <v>32</v>
      </c>
      <c r="B49" s="53" t="s">
        <v>255</v>
      </c>
      <c r="C49" s="53" t="s">
        <v>8</v>
      </c>
      <c r="E49" s="52" t="s">
        <v>256</v>
      </c>
    </row>
    <row r="50" ht="15.75" customHeight="1">
      <c r="A50" s="52" t="s">
        <v>32</v>
      </c>
      <c r="C50" s="53" t="s">
        <v>257</v>
      </c>
      <c r="D50" s="52" t="s">
        <v>256</v>
      </c>
      <c r="E50" s="53" t="s">
        <v>245</v>
      </c>
    </row>
    <row r="51" ht="15.75" customHeight="1">
      <c r="A51" s="52" t="s">
        <v>32</v>
      </c>
      <c r="C51" s="53" t="s">
        <v>258</v>
      </c>
      <c r="D51" s="52" t="s">
        <v>256</v>
      </c>
      <c r="E51" s="53" t="s">
        <v>247</v>
      </c>
    </row>
    <row r="52" ht="15.75" customHeight="1">
      <c r="A52" s="52" t="s">
        <v>32</v>
      </c>
      <c r="C52" s="53" t="s">
        <v>259</v>
      </c>
      <c r="D52" s="52" t="s">
        <v>256</v>
      </c>
      <c r="E52" s="53" t="s">
        <v>249</v>
      </c>
    </row>
    <row r="53" ht="15.75" customHeight="1">
      <c r="A53" s="52" t="s">
        <v>32</v>
      </c>
      <c r="B53" s="53" t="s">
        <v>260</v>
      </c>
      <c r="C53" s="53" t="s">
        <v>8</v>
      </c>
      <c r="E53" s="53" t="s">
        <v>261</v>
      </c>
    </row>
    <row r="54" ht="15.75" customHeight="1">
      <c r="A54" s="52" t="s">
        <v>32</v>
      </c>
      <c r="C54" s="53" t="s">
        <v>262</v>
      </c>
      <c r="D54" s="53" t="s">
        <v>261</v>
      </c>
      <c r="E54" s="53" t="s">
        <v>245</v>
      </c>
    </row>
    <row r="55" ht="15.75" customHeight="1">
      <c r="A55" s="52" t="s">
        <v>32</v>
      </c>
      <c r="C55" s="53" t="s">
        <v>263</v>
      </c>
      <c r="D55" s="53" t="s">
        <v>261</v>
      </c>
      <c r="E55" s="53" t="s">
        <v>247</v>
      </c>
    </row>
    <row r="56" ht="15.75" customHeight="1">
      <c r="A56" s="52" t="s">
        <v>32</v>
      </c>
      <c r="B56" s="53" t="s">
        <v>264</v>
      </c>
      <c r="C56" s="53" t="s">
        <v>8</v>
      </c>
      <c r="E56" s="52" t="s">
        <v>265</v>
      </c>
    </row>
    <row r="57" ht="15.75" customHeight="1">
      <c r="A57" s="52" t="s">
        <v>32</v>
      </c>
      <c r="C57" s="53" t="s">
        <v>266</v>
      </c>
      <c r="D57" s="52" t="s">
        <v>265</v>
      </c>
      <c r="E57" s="53" t="s">
        <v>267</v>
      </c>
    </row>
    <row r="58" ht="15.75" customHeight="1">
      <c r="A58" s="52" t="s">
        <v>32</v>
      </c>
      <c r="C58" s="53" t="s">
        <v>268</v>
      </c>
      <c r="D58" s="52" t="s">
        <v>265</v>
      </c>
      <c r="E58" s="53" t="s">
        <v>269</v>
      </c>
    </row>
    <row r="59" ht="15.75" customHeight="1">
      <c r="A59" s="52" t="s">
        <v>32</v>
      </c>
      <c r="C59" s="53" t="s">
        <v>270</v>
      </c>
      <c r="D59" s="52" t="s">
        <v>265</v>
      </c>
      <c r="E59" s="53" t="s">
        <v>271</v>
      </c>
    </row>
    <row r="60" ht="15.75" customHeight="1">
      <c r="A60" s="52" t="s">
        <v>32</v>
      </c>
      <c r="B60" s="53" t="s">
        <v>272</v>
      </c>
      <c r="C60" s="53" t="s">
        <v>8</v>
      </c>
      <c r="E60" s="52" t="s">
        <v>273</v>
      </c>
    </row>
    <row r="61" ht="15.75" customHeight="1">
      <c r="A61" s="52" t="s">
        <v>32</v>
      </c>
      <c r="C61" s="53" t="s">
        <v>274</v>
      </c>
      <c r="D61" s="52" t="s">
        <v>273</v>
      </c>
      <c r="E61" s="53" t="s">
        <v>267</v>
      </c>
    </row>
    <row r="62" ht="15.75" customHeight="1">
      <c r="A62" s="52" t="s">
        <v>32</v>
      </c>
      <c r="C62" s="53" t="s">
        <v>275</v>
      </c>
      <c r="D62" s="52" t="s">
        <v>273</v>
      </c>
      <c r="E62" s="53" t="s">
        <v>276</v>
      </c>
    </row>
    <row r="63" ht="15.75" customHeight="1">
      <c r="A63" s="52" t="s">
        <v>32</v>
      </c>
      <c r="C63" s="53" t="s">
        <v>277</v>
      </c>
      <c r="D63" s="52" t="s">
        <v>273</v>
      </c>
      <c r="E63" s="53" t="s">
        <v>271</v>
      </c>
    </row>
    <row r="64" ht="15.75" customHeight="1">
      <c r="A64" s="52" t="s">
        <v>32</v>
      </c>
      <c r="B64" s="53" t="s">
        <v>278</v>
      </c>
      <c r="C64" s="53" t="s">
        <v>8</v>
      </c>
      <c r="E64" s="52" t="s">
        <v>279</v>
      </c>
    </row>
    <row r="65" ht="15.75" customHeight="1">
      <c r="A65" s="52" t="s">
        <v>32</v>
      </c>
      <c r="C65" s="53" t="s">
        <v>280</v>
      </c>
      <c r="D65" s="52" t="s">
        <v>279</v>
      </c>
      <c r="E65" s="53" t="s">
        <v>245</v>
      </c>
    </row>
    <row r="66" ht="15.75" customHeight="1">
      <c r="A66" s="52" t="s">
        <v>32</v>
      </c>
      <c r="C66" s="53" t="s">
        <v>281</v>
      </c>
      <c r="D66" s="52" t="s">
        <v>279</v>
      </c>
      <c r="E66" s="53" t="s">
        <v>247</v>
      </c>
    </row>
    <row r="67" ht="15.75" customHeight="1">
      <c r="A67" s="52" t="s">
        <v>32</v>
      </c>
      <c r="B67" s="53" t="s">
        <v>282</v>
      </c>
      <c r="C67" s="53" t="s">
        <v>8</v>
      </c>
      <c r="E67" s="52" t="s">
        <v>283</v>
      </c>
    </row>
    <row r="68" ht="15.75" customHeight="1">
      <c r="A68" s="52" t="s">
        <v>32</v>
      </c>
      <c r="C68" s="53" t="s">
        <v>284</v>
      </c>
      <c r="D68" s="52" t="s">
        <v>283</v>
      </c>
      <c r="E68" s="53" t="s">
        <v>245</v>
      </c>
    </row>
    <row r="69" ht="15.75" customHeight="1">
      <c r="A69" s="52" t="s">
        <v>32</v>
      </c>
      <c r="C69" s="53" t="s">
        <v>285</v>
      </c>
      <c r="D69" s="52" t="s">
        <v>283</v>
      </c>
      <c r="E69" s="53" t="s">
        <v>247</v>
      </c>
    </row>
    <row r="70" ht="15.75" customHeight="1">
      <c r="A70" s="52" t="s">
        <v>32</v>
      </c>
      <c r="B70" s="53" t="s">
        <v>286</v>
      </c>
      <c r="C70" s="53" t="s">
        <v>8</v>
      </c>
      <c r="E70" s="53" t="s">
        <v>287</v>
      </c>
    </row>
    <row r="71" ht="15.75" customHeight="1">
      <c r="A71" s="52" t="s">
        <v>32</v>
      </c>
      <c r="C71" s="53" t="s">
        <v>288</v>
      </c>
      <c r="D71" s="53" t="s">
        <v>289</v>
      </c>
      <c r="E71" s="52" t="s">
        <v>290</v>
      </c>
    </row>
    <row r="72" ht="15.75" customHeight="1">
      <c r="A72" s="52" t="s">
        <v>32</v>
      </c>
      <c r="B72" s="53" t="s">
        <v>291</v>
      </c>
      <c r="C72" s="53" t="s">
        <v>8</v>
      </c>
      <c r="E72" s="53" t="s">
        <v>292</v>
      </c>
    </row>
    <row r="73" ht="15.75" customHeight="1">
      <c r="A73" s="52" t="s">
        <v>32</v>
      </c>
      <c r="B73" s="53" t="s">
        <v>293</v>
      </c>
      <c r="C73" s="53" t="s">
        <v>8</v>
      </c>
      <c r="E73" s="53" t="s">
        <v>186</v>
      </c>
    </row>
    <row r="74" ht="15.75" customHeight="1">
      <c r="A74" s="52" t="s">
        <v>32</v>
      </c>
      <c r="B74" s="53" t="s">
        <v>294</v>
      </c>
      <c r="C74" s="53" t="s">
        <v>8</v>
      </c>
      <c r="E74" s="53" t="s">
        <v>188</v>
      </c>
    </row>
    <row r="75" ht="15.75" customHeight="1">
      <c r="A75" s="52" t="s">
        <v>34</v>
      </c>
      <c r="B75" s="53" t="s">
        <v>295</v>
      </c>
      <c r="C75" s="53" t="s">
        <v>8</v>
      </c>
      <c r="E75" s="53" t="s">
        <v>296</v>
      </c>
    </row>
    <row r="76" ht="15.75" customHeight="1">
      <c r="A76" s="52" t="s">
        <v>34</v>
      </c>
      <c r="B76" s="53" t="s">
        <v>297</v>
      </c>
      <c r="C76" s="53" t="s">
        <v>8</v>
      </c>
      <c r="E76" s="53" t="s">
        <v>298</v>
      </c>
    </row>
    <row r="77" ht="15.75" customHeight="1">
      <c r="A77" s="52" t="s">
        <v>34</v>
      </c>
      <c r="B77" s="53" t="s">
        <v>299</v>
      </c>
      <c r="C77" s="53" t="s">
        <v>8</v>
      </c>
      <c r="E77" s="53" t="s">
        <v>188</v>
      </c>
    </row>
    <row r="78" ht="15.75" customHeight="1">
      <c r="A78" s="52" t="s">
        <v>36</v>
      </c>
      <c r="B78" s="53" t="s">
        <v>300</v>
      </c>
      <c r="C78" s="53" t="s">
        <v>8</v>
      </c>
      <c r="E78" s="53" t="s">
        <v>301</v>
      </c>
    </row>
    <row r="79" ht="15.75" customHeight="1">
      <c r="A79" s="52" t="s">
        <v>36</v>
      </c>
      <c r="B79" s="53" t="s">
        <v>302</v>
      </c>
      <c r="C79" s="53" t="s">
        <v>8</v>
      </c>
      <c r="E79" s="53" t="s">
        <v>303</v>
      </c>
    </row>
    <row r="80" ht="15.75" customHeight="1">
      <c r="A80" s="52" t="s">
        <v>36</v>
      </c>
      <c r="B80" s="53" t="s">
        <v>304</v>
      </c>
      <c r="C80" s="53" t="s">
        <v>8</v>
      </c>
      <c r="E80" s="52" t="s">
        <v>305</v>
      </c>
    </row>
    <row r="81" ht="15.75" customHeight="1">
      <c r="A81" s="52" t="s">
        <v>36</v>
      </c>
      <c r="B81" s="53" t="s">
        <v>306</v>
      </c>
      <c r="C81" s="53" t="s">
        <v>8</v>
      </c>
      <c r="E81" s="53" t="s">
        <v>292</v>
      </c>
    </row>
    <row r="82" ht="15.75" customHeight="1">
      <c r="A82" s="52" t="s">
        <v>36</v>
      </c>
      <c r="B82" s="53" t="s">
        <v>307</v>
      </c>
      <c r="C82" s="53" t="s">
        <v>8</v>
      </c>
      <c r="E82" s="53" t="s">
        <v>186</v>
      </c>
    </row>
    <row r="83" ht="15.75" customHeight="1">
      <c r="A83" s="52" t="s">
        <v>36</v>
      </c>
      <c r="B83" s="53" t="s">
        <v>308</v>
      </c>
      <c r="C83" s="53" t="s">
        <v>8</v>
      </c>
      <c r="E83" s="53" t="s">
        <v>188</v>
      </c>
    </row>
    <row r="84" ht="15.75" customHeight="1">
      <c r="A84" s="52" t="s">
        <v>38</v>
      </c>
      <c r="B84" s="53" t="s">
        <v>309</v>
      </c>
      <c r="C84" s="53" t="s">
        <v>8</v>
      </c>
      <c r="E84" s="53" t="s">
        <v>310</v>
      </c>
    </row>
    <row r="85" ht="15.75" customHeight="1">
      <c r="A85" s="52" t="s">
        <v>38</v>
      </c>
      <c r="B85" s="53" t="s">
        <v>311</v>
      </c>
      <c r="C85" s="53" t="s">
        <v>8</v>
      </c>
      <c r="E85" s="53" t="s">
        <v>312</v>
      </c>
    </row>
    <row r="86" ht="15.75" customHeight="1">
      <c r="A86" s="52" t="s">
        <v>38</v>
      </c>
      <c r="B86" s="53" t="s">
        <v>313</v>
      </c>
      <c r="C86" s="53" t="s">
        <v>8</v>
      </c>
      <c r="E86" s="53" t="s">
        <v>314</v>
      </c>
    </row>
    <row r="87" ht="15.75" customHeight="1">
      <c r="A87" s="52" t="s">
        <v>38</v>
      </c>
      <c r="B87" s="53" t="s">
        <v>315</v>
      </c>
      <c r="C87" s="53" t="s">
        <v>8</v>
      </c>
      <c r="E87" s="53" t="s">
        <v>186</v>
      </c>
    </row>
    <row r="88" ht="15.75" customHeight="1">
      <c r="A88" s="52" t="s">
        <v>38</v>
      </c>
      <c r="B88" s="53" t="s">
        <v>316</v>
      </c>
      <c r="C88" s="53" t="s">
        <v>8</v>
      </c>
      <c r="E88" s="53" t="s">
        <v>188</v>
      </c>
    </row>
    <row r="89" ht="15.75" customHeight="1">
      <c r="A89" s="52" t="s">
        <v>39</v>
      </c>
      <c r="B89" s="53" t="s">
        <v>317</v>
      </c>
      <c r="C89" s="53" t="s">
        <v>8</v>
      </c>
      <c r="E89" s="53" t="s">
        <v>318</v>
      </c>
    </row>
    <row r="90" ht="15.75" customHeight="1">
      <c r="A90" s="52" t="s">
        <v>39</v>
      </c>
      <c r="B90" s="53" t="s">
        <v>319</v>
      </c>
      <c r="C90" s="53" t="s">
        <v>8</v>
      </c>
      <c r="E90" s="53" t="s">
        <v>320</v>
      </c>
    </row>
    <row r="91" ht="15.75" customHeight="1">
      <c r="A91" s="52" t="s">
        <v>39</v>
      </c>
      <c r="C91" s="53" t="s">
        <v>321</v>
      </c>
      <c r="D91" s="53" t="s">
        <v>320</v>
      </c>
      <c r="E91" s="53" t="s">
        <v>322</v>
      </c>
    </row>
    <row r="92" ht="15.75" customHeight="1">
      <c r="A92" s="52" t="s">
        <v>39</v>
      </c>
      <c r="C92" s="53" t="s">
        <v>323</v>
      </c>
      <c r="D92" s="53" t="s">
        <v>320</v>
      </c>
      <c r="E92" s="53" t="s">
        <v>324</v>
      </c>
    </row>
    <row r="93" ht="15.75" customHeight="1">
      <c r="A93" s="52" t="s">
        <v>39</v>
      </c>
      <c r="C93" s="53" t="s">
        <v>325</v>
      </c>
      <c r="D93" s="53" t="s">
        <v>320</v>
      </c>
      <c r="E93" s="53" t="s">
        <v>326</v>
      </c>
    </row>
    <row r="94" ht="15.75" customHeight="1">
      <c r="A94" s="52" t="s">
        <v>39</v>
      </c>
      <c r="C94" s="53" t="s">
        <v>327</v>
      </c>
      <c r="D94" s="53" t="s">
        <v>320</v>
      </c>
      <c r="E94" s="53" t="s">
        <v>328</v>
      </c>
    </row>
    <row r="95" ht="15.75" customHeight="1">
      <c r="A95" s="52" t="s">
        <v>39</v>
      </c>
      <c r="C95" s="53" t="s">
        <v>329</v>
      </c>
      <c r="D95" s="53" t="s">
        <v>320</v>
      </c>
      <c r="E95" s="53" t="s">
        <v>292</v>
      </c>
    </row>
    <row r="96" ht="15.75" customHeight="1">
      <c r="A96" s="52" t="s">
        <v>39</v>
      </c>
      <c r="B96" s="53" t="s">
        <v>330</v>
      </c>
      <c r="C96" s="53" t="s">
        <v>8</v>
      </c>
      <c r="E96" s="53" t="s">
        <v>331</v>
      </c>
    </row>
    <row r="97" ht="15.75" customHeight="1">
      <c r="A97" s="52" t="s">
        <v>39</v>
      </c>
      <c r="B97" s="53" t="s">
        <v>332</v>
      </c>
      <c r="C97" s="53" t="s">
        <v>8</v>
      </c>
      <c r="E97" s="53" t="s">
        <v>333</v>
      </c>
    </row>
    <row r="98" ht="15.75" customHeight="1">
      <c r="A98" s="52" t="s">
        <v>39</v>
      </c>
      <c r="B98" s="53" t="s">
        <v>334</v>
      </c>
      <c r="C98" s="53" t="s">
        <v>8</v>
      </c>
      <c r="E98" s="53" t="s">
        <v>335</v>
      </c>
    </row>
    <row r="99" ht="15.75" customHeight="1">
      <c r="A99" s="52" t="s">
        <v>39</v>
      </c>
      <c r="B99" s="53" t="s">
        <v>336</v>
      </c>
      <c r="C99" s="53" t="s">
        <v>8</v>
      </c>
      <c r="E99" s="53" t="s">
        <v>186</v>
      </c>
    </row>
    <row r="100" ht="15.75" customHeight="1">
      <c r="A100" s="52" t="s">
        <v>39</v>
      </c>
      <c r="B100" s="53" t="s">
        <v>337</v>
      </c>
      <c r="C100" s="53" t="s">
        <v>8</v>
      </c>
      <c r="E100" s="53" t="s">
        <v>188</v>
      </c>
    </row>
    <row r="101" ht="15.75" customHeight="1">
      <c r="A101" s="52" t="s">
        <v>40</v>
      </c>
      <c r="B101" s="53" t="s">
        <v>338</v>
      </c>
      <c r="C101" s="53" t="s">
        <v>8</v>
      </c>
      <c r="E101" s="53" t="s">
        <v>339</v>
      </c>
    </row>
    <row r="102" ht="15.75" customHeight="1">
      <c r="A102" s="52" t="s">
        <v>40</v>
      </c>
      <c r="C102" s="53" t="s">
        <v>340</v>
      </c>
      <c r="D102" s="53" t="s">
        <v>339</v>
      </c>
      <c r="E102" s="53" t="s">
        <v>341</v>
      </c>
    </row>
    <row r="103" ht="15.75" customHeight="1">
      <c r="A103" s="52" t="s">
        <v>40</v>
      </c>
      <c r="C103" s="53" t="s">
        <v>342</v>
      </c>
      <c r="D103" s="53" t="s">
        <v>339</v>
      </c>
      <c r="E103" s="53" t="s">
        <v>343</v>
      </c>
    </row>
    <row r="104" ht="15.75" customHeight="1">
      <c r="A104" s="52" t="s">
        <v>40</v>
      </c>
      <c r="C104" s="53" t="s">
        <v>344</v>
      </c>
      <c r="D104" s="53" t="s">
        <v>339</v>
      </c>
      <c r="E104" s="53" t="s">
        <v>292</v>
      </c>
    </row>
    <row r="105" ht="15.75" customHeight="1">
      <c r="A105" s="52" t="s">
        <v>40</v>
      </c>
      <c r="B105" s="53" t="s">
        <v>345</v>
      </c>
      <c r="C105" s="53" t="s">
        <v>8</v>
      </c>
      <c r="E105" s="53" t="s">
        <v>346</v>
      </c>
    </row>
    <row r="106" ht="15.75" customHeight="1">
      <c r="A106" s="52" t="s">
        <v>40</v>
      </c>
      <c r="B106" s="53" t="s">
        <v>347</v>
      </c>
      <c r="C106" s="53" t="s">
        <v>8</v>
      </c>
      <c r="E106" s="53" t="s">
        <v>348</v>
      </c>
    </row>
    <row r="107" ht="15.75" customHeight="1">
      <c r="A107" s="52" t="s">
        <v>40</v>
      </c>
      <c r="B107" s="53" t="s">
        <v>349</v>
      </c>
      <c r="C107" s="53" t="s">
        <v>8</v>
      </c>
      <c r="E107" s="53" t="s">
        <v>350</v>
      </c>
    </row>
    <row r="108" ht="15.75" customHeight="1">
      <c r="A108" s="52" t="s">
        <v>40</v>
      </c>
      <c r="B108" s="53" t="s">
        <v>351</v>
      </c>
      <c r="C108" s="53" t="s">
        <v>8</v>
      </c>
      <c r="E108" s="53" t="s">
        <v>186</v>
      </c>
    </row>
    <row r="109" ht="15.75" customHeight="1">
      <c r="A109" s="52" t="s">
        <v>40</v>
      </c>
      <c r="B109" s="53" t="s">
        <v>352</v>
      </c>
      <c r="C109" s="53" t="s">
        <v>8</v>
      </c>
      <c r="E109" s="53" t="s">
        <v>188</v>
      </c>
    </row>
    <row r="110" ht="15.75" customHeight="1">
      <c r="A110" s="52" t="s">
        <v>41</v>
      </c>
      <c r="B110" s="53" t="s">
        <v>353</v>
      </c>
      <c r="C110" s="53" t="s">
        <v>8</v>
      </c>
      <c r="E110" s="53" t="s">
        <v>354</v>
      </c>
    </row>
    <row r="111" ht="15.75" customHeight="1">
      <c r="A111" s="52" t="s">
        <v>41</v>
      </c>
      <c r="C111" s="53" t="s">
        <v>355</v>
      </c>
      <c r="D111" s="53" t="s">
        <v>354</v>
      </c>
      <c r="E111" s="53" t="s">
        <v>356</v>
      </c>
    </row>
    <row r="112" ht="15.75" customHeight="1">
      <c r="A112" s="52" t="s">
        <v>41</v>
      </c>
      <c r="C112" s="53" t="s">
        <v>357</v>
      </c>
      <c r="D112" s="53" t="s">
        <v>354</v>
      </c>
      <c r="E112" s="53" t="s">
        <v>358</v>
      </c>
    </row>
    <row r="113" ht="15.75" customHeight="1">
      <c r="A113" s="52" t="s">
        <v>41</v>
      </c>
      <c r="B113" s="53" t="s">
        <v>359</v>
      </c>
      <c r="C113" s="53" t="s">
        <v>8</v>
      </c>
      <c r="E113" s="53" t="s">
        <v>360</v>
      </c>
    </row>
    <row r="114" ht="15.75" customHeight="1">
      <c r="A114" s="52" t="s">
        <v>41</v>
      </c>
      <c r="C114" s="53" t="s">
        <v>361</v>
      </c>
      <c r="D114" s="53" t="s">
        <v>360</v>
      </c>
      <c r="E114" s="53" t="s">
        <v>356</v>
      </c>
    </row>
    <row r="115" ht="15.75" customHeight="1">
      <c r="A115" s="52" t="s">
        <v>41</v>
      </c>
      <c r="C115" s="53" t="s">
        <v>362</v>
      </c>
      <c r="D115" s="53" t="s">
        <v>360</v>
      </c>
      <c r="E115" s="53" t="s">
        <v>358</v>
      </c>
    </row>
    <row r="116" ht="15.75" customHeight="1">
      <c r="A116" s="52" t="s">
        <v>41</v>
      </c>
      <c r="B116" s="53" t="s">
        <v>363</v>
      </c>
      <c r="C116" s="53" t="s">
        <v>8</v>
      </c>
      <c r="E116" s="53" t="s">
        <v>186</v>
      </c>
    </row>
    <row r="117" ht="15.75" customHeight="1">
      <c r="A117" s="52" t="s">
        <v>41</v>
      </c>
      <c r="B117" s="53" t="s">
        <v>364</v>
      </c>
      <c r="C117" s="53" t="s">
        <v>8</v>
      </c>
      <c r="E117" s="53" t="s">
        <v>188</v>
      </c>
    </row>
    <row r="118" ht="15.75" customHeight="1">
      <c r="A118" s="52" t="s">
        <v>43</v>
      </c>
      <c r="B118" s="53" t="s">
        <v>365</v>
      </c>
      <c r="C118" s="53" t="s">
        <v>8</v>
      </c>
      <c r="E118" s="53" t="s">
        <v>366</v>
      </c>
    </row>
    <row r="119" ht="15.75" customHeight="1">
      <c r="A119" s="52" t="s">
        <v>43</v>
      </c>
      <c r="B119" s="53" t="s">
        <v>367</v>
      </c>
      <c r="C119" s="53" t="s">
        <v>8</v>
      </c>
      <c r="E119" s="53" t="s">
        <v>368</v>
      </c>
    </row>
    <row r="120" ht="15.75" customHeight="1">
      <c r="A120" s="52" t="s">
        <v>43</v>
      </c>
      <c r="C120" s="53" t="s">
        <v>369</v>
      </c>
      <c r="D120" s="53" t="s">
        <v>368</v>
      </c>
      <c r="E120" s="53" t="s">
        <v>370</v>
      </c>
    </row>
    <row r="121" ht="15.75" customHeight="1">
      <c r="A121" s="52" t="s">
        <v>43</v>
      </c>
      <c r="C121" s="53" t="s">
        <v>371</v>
      </c>
      <c r="D121" s="53" t="s">
        <v>368</v>
      </c>
      <c r="E121" s="53" t="s">
        <v>372</v>
      </c>
    </row>
    <row r="122" ht="15.75" customHeight="1">
      <c r="A122" s="52" t="s">
        <v>43</v>
      </c>
      <c r="C122" s="53" t="s">
        <v>373</v>
      </c>
      <c r="D122" s="53" t="s">
        <v>368</v>
      </c>
      <c r="E122" s="53" t="s">
        <v>292</v>
      </c>
    </row>
    <row r="123" ht="15.75" customHeight="1">
      <c r="A123" s="52" t="s">
        <v>43</v>
      </c>
      <c r="B123" s="53" t="s">
        <v>374</v>
      </c>
      <c r="C123" s="53" t="s">
        <v>8</v>
      </c>
      <c r="E123" s="53" t="s">
        <v>375</v>
      </c>
    </row>
    <row r="124" ht="15.75" customHeight="1">
      <c r="A124" s="52" t="s">
        <v>43</v>
      </c>
      <c r="B124" s="53" t="s">
        <v>376</v>
      </c>
      <c r="C124" s="53" t="s">
        <v>8</v>
      </c>
      <c r="E124" s="53" t="s">
        <v>186</v>
      </c>
    </row>
    <row r="125" ht="15.75" customHeight="1">
      <c r="A125" s="52" t="s">
        <v>43</v>
      </c>
      <c r="B125" s="53" t="s">
        <v>377</v>
      </c>
      <c r="C125" s="53" t="s">
        <v>8</v>
      </c>
      <c r="E125" s="53" t="s">
        <v>188</v>
      </c>
    </row>
    <row r="126" ht="15.75" customHeight="1">
      <c r="A126" s="52" t="s">
        <v>44</v>
      </c>
      <c r="B126" s="53" t="s">
        <v>378</v>
      </c>
      <c r="C126" s="53" t="s">
        <v>8</v>
      </c>
      <c r="E126" s="53" t="s">
        <v>379</v>
      </c>
    </row>
    <row r="127" ht="15.75" customHeight="1">
      <c r="A127" s="52" t="s">
        <v>44</v>
      </c>
      <c r="B127" s="53" t="s">
        <v>380</v>
      </c>
      <c r="C127" s="53" t="s">
        <v>8</v>
      </c>
      <c r="E127" s="53" t="s">
        <v>381</v>
      </c>
    </row>
    <row r="128" ht="15.75" customHeight="1">
      <c r="A128" s="52" t="s">
        <v>44</v>
      </c>
      <c r="B128" s="53" t="s">
        <v>382</v>
      </c>
      <c r="C128" s="53" t="s">
        <v>8</v>
      </c>
      <c r="E128" s="53" t="s">
        <v>383</v>
      </c>
    </row>
    <row r="129" ht="15.75" customHeight="1">
      <c r="A129" s="52" t="s">
        <v>44</v>
      </c>
      <c r="C129" s="53" t="s">
        <v>384</v>
      </c>
      <c r="D129" s="53" t="s">
        <v>383</v>
      </c>
      <c r="E129" s="53" t="s">
        <v>385</v>
      </c>
    </row>
    <row r="130" ht="15.75" customHeight="1">
      <c r="A130" s="52" t="s">
        <v>44</v>
      </c>
      <c r="C130" s="53" t="s">
        <v>386</v>
      </c>
      <c r="D130" s="53" t="s">
        <v>383</v>
      </c>
      <c r="E130" s="53" t="s">
        <v>387</v>
      </c>
    </row>
    <row r="131" ht="15.75" customHeight="1">
      <c r="A131" s="52" t="s">
        <v>44</v>
      </c>
      <c r="C131" s="53" t="s">
        <v>388</v>
      </c>
      <c r="D131" s="53" t="s">
        <v>383</v>
      </c>
      <c r="E131" s="53" t="s">
        <v>389</v>
      </c>
    </row>
    <row r="132" ht="15.75" customHeight="1">
      <c r="A132" s="52" t="s">
        <v>44</v>
      </c>
      <c r="C132" s="53" t="s">
        <v>390</v>
      </c>
      <c r="D132" s="53" t="s">
        <v>383</v>
      </c>
      <c r="E132" s="53" t="s">
        <v>391</v>
      </c>
    </row>
    <row r="133" ht="15.75" customHeight="1">
      <c r="A133" s="52" t="s">
        <v>44</v>
      </c>
      <c r="C133" s="53" t="s">
        <v>392</v>
      </c>
      <c r="D133" s="53" t="s">
        <v>383</v>
      </c>
      <c r="E133" s="53" t="s">
        <v>393</v>
      </c>
    </row>
    <row r="134" ht="15.75" customHeight="1">
      <c r="A134" s="52" t="s">
        <v>44</v>
      </c>
      <c r="C134" s="53" t="s">
        <v>394</v>
      </c>
      <c r="D134" s="53" t="s">
        <v>383</v>
      </c>
      <c r="E134" s="53" t="s">
        <v>395</v>
      </c>
    </row>
    <row r="135" ht="15.75" customHeight="1">
      <c r="A135" s="52" t="s">
        <v>44</v>
      </c>
      <c r="C135" s="53" t="s">
        <v>396</v>
      </c>
      <c r="D135" s="53" t="s">
        <v>383</v>
      </c>
      <c r="E135" s="53" t="s">
        <v>292</v>
      </c>
    </row>
    <row r="136" ht="15.75" customHeight="1">
      <c r="A136" s="52" t="s">
        <v>44</v>
      </c>
      <c r="B136" s="53" t="s">
        <v>397</v>
      </c>
      <c r="C136" s="53" t="s">
        <v>8</v>
      </c>
      <c r="E136" s="53" t="s">
        <v>398</v>
      </c>
    </row>
    <row r="137" ht="15.75" customHeight="1">
      <c r="A137" s="52" t="s">
        <v>44</v>
      </c>
      <c r="B137" s="53" t="s">
        <v>399</v>
      </c>
      <c r="C137" s="53" t="s">
        <v>8</v>
      </c>
      <c r="E137" s="53" t="s">
        <v>400</v>
      </c>
    </row>
    <row r="138" ht="15.75" customHeight="1">
      <c r="A138" s="52" t="s">
        <v>44</v>
      </c>
      <c r="B138" s="53" t="s">
        <v>401</v>
      </c>
      <c r="C138" s="53" t="s">
        <v>8</v>
      </c>
      <c r="E138" s="53" t="s">
        <v>186</v>
      </c>
    </row>
    <row r="139" ht="15.75" customHeight="1">
      <c r="A139" s="52" t="s">
        <v>44</v>
      </c>
      <c r="B139" s="53" t="s">
        <v>402</v>
      </c>
      <c r="C139" s="53" t="s">
        <v>8</v>
      </c>
      <c r="E139" s="53" t="s">
        <v>188</v>
      </c>
    </row>
    <row r="140" ht="15.75" customHeight="1">
      <c r="A140" s="52" t="s">
        <v>46</v>
      </c>
      <c r="B140" s="53" t="s">
        <v>403</v>
      </c>
      <c r="C140" s="53" t="s">
        <v>8</v>
      </c>
      <c r="E140" s="53" t="s">
        <v>404</v>
      </c>
    </row>
    <row r="141" ht="15.75" customHeight="1">
      <c r="A141" s="52" t="s">
        <v>46</v>
      </c>
      <c r="C141" s="53" t="s">
        <v>405</v>
      </c>
      <c r="D141" s="53" t="s">
        <v>404</v>
      </c>
      <c r="E141" s="53" t="s">
        <v>406</v>
      </c>
    </row>
    <row r="142" ht="15.75" customHeight="1">
      <c r="A142" s="52" t="s">
        <v>46</v>
      </c>
      <c r="C142" s="53" t="s">
        <v>407</v>
      </c>
      <c r="D142" s="53" t="s">
        <v>404</v>
      </c>
      <c r="E142" s="53" t="s">
        <v>358</v>
      </c>
    </row>
    <row r="143" ht="15.75" customHeight="1">
      <c r="A143" s="52" t="s">
        <v>46</v>
      </c>
      <c r="C143" s="53" t="s">
        <v>408</v>
      </c>
      <c r="D143" s="53" t="s">
        <v>404</v>
      </c>
      <c r="E143" s="53" t="s">
        <v>409</v>
      </c>
    </row>
    <row r="144" ht="15.75" customHeight="1">
      <c r="A144" s="52" t="s">
        <v>46</v>
      </c>
      <c r="B144" s="53" t="s">
        <v>410</v>
      </c>
      <c r="C144" s="53" t="s">
        <v>8</v>
      </c>
      <c r="E144" s="53" t="s">
        <v>411</v>
      </c>
    </row>
    <row r="145" ht="15.75" customHeight="1">
      <c r="A145" s="52" t="s">
        <v>46</v>
      </c>
      <c r="C145" s="53" t="s">
        <v>412</v>
      </c>
      <c r="D145" s="53" t="s">
        <v>411</v>
      </c>
      <c r="E145" s="53" t="s">
        <v>406</v>
      </c>
    </row>
    <row r="146" ht="15.75" customHeight="1">
      <c r="A146" s="52" t="s">
        <v>46</v>
      </c>
      <c r="C146" s="53" t="s">
        <v>413</v>
      </c>
      <c r="D146" s="53" t="s">
        <v>411</v>
      </c>
      <c r="E146" s="53" t="s">
        <v>358</v>
      </c>
    </row>
    <row r="147" ht="15.75" customHeight="1">
      <c r="A147" s="52" t="s">
        <v>46</v>
      </c>
      <c r="C147" s="53" t="s">
        <v>414</v>
      </c>
      <c r="D147" s="53" t="s">
        <v>411</v>
      </c>
      <c r="E147" s="53" t="s">
        <v>415</v>
      </c>
    </row>
    <row r="148" ht="15.75" customHeight="1">
      <c r="A148" s="52" t="s">
        <v>46</v>
      </c>
      <c r="B148" s="53" t="s">
        <v>416</v>
      </c>
      <c r="C148" s="53" t="s">
        <v>8</v>
      </c>
      <c r="E148" s="53" t="s">
        <v>292</v>
      </c>
    </row>
    <row r="149" ht="15.75" customHeight="1">
      <c r="A149" s="52" t="s">
        <v>46</v>
      </c>
      <c r="B149" s="53" t="s">
        <v>417</v>
      </c>
      <c r="C149" s="53" t="s">
        <v>8</v>
      </c>
      <c r="E149" s="53" t="s">
        <v>186</v>
      </c>
    </row>
    <row r="150" ht="15.75" customHeight="1">
      <c r="A150" s="52" t="s">
        <v>46</v>
      </c>
      <c r="B150" s="53" t="s">
        <v>418</v>
      </c>
      <c r="C150" s="53" t="s">
        <v>8</v>
      </c>
      <c r="E150" s="53" t="s">
        <v>188</v>
      </c>
    </row>
    <row r="151" ht="15.75" customHeight="1">
      <c r="A151" s="52" t="s">
        <v>47</v>
      </c>
      <c r="B151" s="53" t="s">
        <v>419</v>
      </c>
      <c r="C151" s="53" t="s">
        <v>8</v>
      </c>
      <c r="E151" s="53" t="s">
        <v>420</v>
      </c>
    </row>
    <row r="152" ht="15.75" customHeight="1">
      <c r="A152" s="52" t="s">
        <v>47</v>
      </c>
      <c r="B152" s="53" t="s">
        <v>421</v>
      </c>
      <c r="C152" s="53" t="s">
        <v>8</v>
      </c>
      <c r="E152" s="53" t="s">
        <v>422</v>
      </c>
    </row>
    <row r="153" ht="15.75" customHeight="1">
      <c r="A153" s="52" t="s">
        <v>47</v>
      </c>
      <c r="B153" s="53" t="s">
        <v>423</v>
      </c>
      <c r="C153" s="53" t="s">
        <v>8</v>
      </c>
      <c r="E153" s="53" t="s">
        <v>424</v>
      </c>
    </row>
    <row r="154" ht="15.75" customHeight="1">
      <c r="A154" s="52" t="s">
        <v>47</v>
      </c>
      <c r="B154" s="53" t="s">
        <v>425</v>
      </c>
      <c r="C154" s="53" t="s">
        <v>8</v>
      </c>
      <c r="E154" s="53" t="s">
        <v>426</v>
      </c>
    </row>
    <row r="155" ht="15.75" customHeight="1">
      <c r="A155" s="52" t="s">
        <v>47</v>
      </c>
      <c r="B155" s="53" t="s">
        <v>427</v>
      </c>
      <c r="C155" s="53" t="s">
        <v>8</v>
      </c>
      <c r="E155" s="53" t="s">
        <v>292</v>
      </c>
    </row>
    <row r="156" ht="15.75" customHeight="1">
      <c r="A156" s="52" t="s">
        <v>47</v>
      </c>
      <c r="B156" s="53" t="s">
        <v>428</v>
      </c>
      <c r="C156" s="53" t="s">
        <v>8</v>
      </c>
      <c r="E156" s="53" t="s">
        <v>186</v>
      </c>
    </row>
    <row r="157" ht="15.75" customHeight="1">
      <c r="A157" s="52" t="s">
        <v>47</v>
      </c>
      <c r="B157" s="53" t="s">
        <v>429</v>
      </c>
      <c r="C157" s="53" t="s">
        <v>8</v>
      </c>
      <c r="E157" s="53" t="s">
        <v>188</v>
      </c>
    </row>
    <row r="158" ht="15.75" customHeight="1">
      <c r="A158" s="52" t="s">
        <v>49</v>
      </c>
      <c r="B158" s="53" t="s">
        <v>430</v>
      </c>
      <c r="C158" s="53" t="s">
        <v>8</v>
      </c>
      <c r="E158" s="53" t="s">
        <v>431</v>
      </c>
    </row>
    <row r="159" ht="15.75" customHeight="1">
      <c r="A159" s="52" t="s">
        <v>49</v>
      </c>
      <c r="B159" s="53" t="s">
        <v>432</v>
      </c>
      <c r="C159" s="53" t="s">
        <v>8</v>
      </c>
      <c r="E159" s="53" t="s">
        <v>433</v>
      </c>
    </row>
    <row r="160" ht="15.75" customHeight="1">
      <c r="A160" s="52" t="s">
        <v>49</v>
      </c>
      <c r="B160" s="53" t="s">
        <v>434</v>
      </c>
      <c r="C160" s="53" t="s">
        <v>8</v>
      </c>
      <c r="E160" s="53" t="s">
        <v>435</v>
      </c>
    </row>
    <row r="161" ht="15.75" customHeight="1">
      <c r="A161" s="52" t="s">
        <v>49</v>
      </c>
      <c r="B161" s="53" t="s">
        <v>436</v>
      </c>
      <c r="C161" s="53" t="s">
        <v>8</v>
      </c>
      <c r="E161" s="53" t="s">
        <v>437</v>
      </c>
    </row>
    <row r="162" ht="15.75" customHeight="1">
      <c r="A162" s="52" t="s">
        <v>49</v>
      </c>
      <c r="B162" s="53" t="s">
        <v>438</v>
      </c>
      <c r="C162" s="53" t="s">
        <v>8</v>
      </c>
      <c r="E162" s="53" t="s">
        <v>186</v>
      </c>
    </row>
    <row r="163" ht="15.75" customHeight="1">
      <c r="A163" s="52" t="s">
        <v>49</v>
      </c>
      <c r="B163" s="53" t="s">
        <v>439</v>
      </c>
      <c r="C163" s="53" t="s">
        <v>8</v>
      </c>
      <c r="E163" s="53" t="s">
        <v>188</v>
      </c>
    </row>
    <row r="164" ht="15.75" customHeight="1">
      <c r="A164" s="52" t="s">
        <v>50</v>
      </c>
      <c r="B164" s="53" t="s">
        <v>440</v>
      </c>
      <c r="C164" s="53" t="s">
        <v>8</v>
      </c>
      <c r="E164" s="53" t="s">
        <v>296</v>
      </c>
    </row>
    <row r="165" ht="15.75" customHeight="1">
      <c r="A165" s="52" t="s">
        <v>50</v>
      </c>
      <c r="B165" s="53" t="s">
        <v>441</v>
      </c>
      <c r="C165" s="53" t="s">
        <v>8</v>
      </c>
      <c r="E165" s="53" t="s">
        <v>298</v>
      </c>
    </row>
    <row r="166" ht="15.75" customHeight="1">
      <c r="A166" s="52" t="s">
        <v>50</v>
      </c>
      <c r="B166" s="53" t="s">
        <v>442</v>
      </c>
      <c r="C166" s="53" t="s">
        <v>8</v>
      </c>
      <c r="E166" s="53" t="s">
        <v>188</v>
      </c>
    </row>
    <row r="167" ht="15.75" customHeight="1">
      <c r="A167" s="52" t="s">
        <v>51</v>
      </c>
      <c r="B167" s="53" t="s">
        <v>443</v>
      </c>
      <c r="C167" s="53" t="s">
        <v>8</v>
      </c>
      <c r="E167" s="53" t="s">
        <v>444</v>
      </c>
    </row>
    <row r="168" ht="15.75" customHeight="1">
      <c r="A168" s="52" t="s">
        <v>51</v>
      </c>
      <c r="B168" s="53" t="s">
        <v>445</v>
      </c>
      <c r="C168" s="53" t="s">
        <v>8</v>
      </c>
      <c r="E168" s="53" t="s">
        <v>446</v>
      </c>
    </row>
    <row r="169" ht="15.75" customHeight="1">
      <c r="A169" s="52" t="s">
        <v>51</v>
      </c>
      <c r="B169" s="53" t="s">
        <v>447</v>
      </c>
      <c r="C169" s="53" t="s">
        <v>8</v>
      </c>
      <c r="E169" s="53" t="s">
        <v>448</v>
      </c>
    </row>
    <row r="170" ht="15.75" customHeight="1">
      <c r="A170" s="52" t="s">
        <v>51</v>
      </c>
      <c r="B170" s="53" t="s">
        <v>449</v>
      </c>
      <c r="C170" s="53" t="s">
        <v>8</v>
      </c>
      <c r="E170" s="53" t="s">
        <v>450</v>
      </c>
    </row>
    <row r="171" ht="15.75" customHeight="1">
      <c r="A171" s="52" t="s">
        <v>51</v>
      </c>
      <c r="C171" s="53" t="s">
        <v>451</v>
      </c>
      <c r="D171" s="53" t="s">
        <v>450</v>
      </c>
      <c r="E171" s="53" t="s">
        <v>452</v>
      </c>
    </row>
    <row r="172" ht="15.75" customHeight="1">
      <c r="A172" s="52" t="s">
        <v>51</v>
      </c>
      <c r="C172" s="53" t="s">
        <v>453</v>
      </c>
      <c r="D172" s="53" t="s">
        <v>450</v>
      </c>
      <c r="E172" s="53" t="s">
        <v>454</v>
      </c>
    </row>
    <row r="173" ht="15.75" customHeight="1">
      <c r="A173" s="52" t="s">
        <v>51</v>
      </c>
      <c r="C173" s="53" t="s">
        <v>455</v>
      </c>
      <c r="D173" s="53" t="s">
        <v>450</v>
      </c>
      <c r="E173" s="53" t="s">
        <v>456</v>
      </c>
    </row>
    <row r="174" ht="15.75" customHeight="1">
      <c r="A174" s="52" t="s">
        <v>51</v>
      </c>
      <c r="C174" s="53" t="s">
        <v>457</v>
      </c>
      <c r="D174" s="53" t="s">
        <v>450</v>
      </c>
      <c r="E174" s="53" t="s">
        <v>292</v>
      </c>
    </row>
    <row r="175" ht="15.75" customHeight="1">
      <c r="A175" s="52" t="s">
        <v>51</v>
      </c>
      <c r="B175" s="53" t="s">
        <v>458</v>
      </c>
      <c r="C175" s="53" t="s">
        <v>8</v>
      </c>
      <c r="E175" s="53" t="s">
        <v>186</v>
      </c>
    </row>
    <row r="176" ht="15.75" customHeight="1">
      <c r="A176" s="52" t="s">
        <v>51</v>
      </c>
      <c r="B176" s="53" t="s">
        <v>459</v>
      </c>
      <c r="C176" s="53" t="s">
        <v>8</v>
      </c>
      <c r="E176" s="53" t="s">
        <v>188</v>
      </c>
    </row>
    <row r="177" ht="15.75" customHeight="1">
      <c r="A177" s="52" t="s">
        <v>52</v>
      </c>
      <c r="B177" s="53" t="s">
        <v>460</v>
      </c>
      <c r="C177" s="53" t="s">
        <v>8</v>
      </c>
      <c r="E177" s="53" t="s">
        <v>461</v>
      </c>
    </row>
    <row r="178" ht="15.75" customHeight="1">
      <c r="A178" s="52" t="s">
        <v>52</v>
      </c>
      <c r="B178" s="53" t="s">
        <v>462</v>
      </c>
      <c r="C178" s="53" t="s">
        <v>8</v>
      </c>
      <c r="E178" s="53" t="s">
        <v>463</v>
      </c>
    </row>
    <row r="179" ht="15.75" customHeight="1">
      <c r="A179" s="52" t="s">
        <v>52</v>
      </c>
      <c r="B179" s="53" t="s">
        <v>464</v>
      </c>
      <c r="C179" s="53" t="s">
        <v>8</v>
      </c>
      <c r="E179" s="53" t="s">
        <v>465</v>
      </c>
    </row>
    <row r="180" ht="15.75" customHeight="1">
      <c r="A180" s="52" t="s">
        <v>52</v>
      </c>
      <c r="C180" s="53" t="s">
        <v>466</v>
      </c>
      <c r="D180" s="53" t="s">
        <v>465</v>
      </c>
      <c r="E180" s="53" t="s">
        <v>467</v>
      </c>
    </row>
    <row r="181" ht="15.75" customHeight="1">
      <c r="A181" s="52" t="s">
        <v>52</v>
      </c>
      <c r="C181" s="53" t="s">
        <v>468</v>
      </c>
      <c r="D181" s="53" t="s">
        <v>465</v>
      </c>
      <c r="E181" s="53" t="s">
        <v>469</v>
      </c>
    </row>
    <row r="182" ht="15.75" customHeight="1">
      <c r="A182" s="52" t="s">
        <v>52</v>
      </c>
      <c r="C182" s="53" t="s">
        <v>470</v>
      </c>
      <c r="D182" s="53" t="s">
        <v>465</v>
      </c>
      <c r="E182" s="53" t="s">
        <v>292</v>
      </c>
    </row>
    <row r="183" ht="15.75" customHeight="1">
      <c r="A183" s="52" t="s">
        <v>52</v>
      </c>
      <c r="B183" s="53" t="s">
        <v>471</v>
      </c>
      <c r="C183" s="53" t="s">
        <v>8</v>
      </c>
      <c r="E183" s="53" t="s">
        <v>472</v>
      </c>
    </row>
    <row r="184" ht="15.75" customHeight="1">
      <c r="A184" s="52" t="s">
        <v>52</v>
      </c>
      <c r="C184" s="53" t="s">
        <v>473</v>
      </c>
      <c r="D184" s="53" t="s">
        <v>472</v>
      </c>
      <c r="E184" s="53" t="s">
        <v>474</v>
      </c>
    </row>
    <row r="185" ht="15.75" customHeight="1">
      <c r="A185" s="52" t="s">
        <v>52</v>
      </c>
      <c r="C185" s="53" t="s">
        <v>475</v>
      </c>
      <c r="D185" s="53" t="s">
        <v>472</v>
      </c>
      <c r="E185" s="53" t="s">
        <v>476</v>
      </c>
    </row>
    <row r="186" ht="15.75" customHeight="1">
      <c r="A186" s="52" t="s">
        <v>52</v>
      </c>
      <c r="C186" s="53" t="s">
        <v>477</v>
      </c>
      <c r="D186" s="53" t="s">
        <v>472</v>
      </c>
      <c r="E186" s="53" t="s">
        <v>292</v>
      </c>
    </row>
    <row r="187" ht="15.75" customHeight="1">
      <c r="A187" s="52" t="s">
        <v>52</v>
      </c>
      <c r="B187" s="53" t="s">
        <v>478</v>
      </c>
      <c r="C187" s="53" t="s">
        <v>8</v>
      </c>
      <c r="E187" s="53" t="s">
        <v>186</v>
      </c>
    </row>
    <row r="188" ht="15.75" customHeight="1">
      <c r="A188" s="52" t="s">
        <v>52</v>
      </c>
      <c r="B188" s="53" t="s">
        <v>479</v>
      </c>
      <c r="C188" s="53" t="s">
        <v>8</v>
      </c>
      <c r="E188" s="53" t="s">
        <v>188</v>
      </c>
    </row>
    <row r="189" ht="15.75" customHeight="1">
      <c r="A189" s="52" t="s">
        <v>53</v>
      </c>
      <c r="B189" s="53" t="s">
        <v>480</v>
      </c>
      <c r="C189" s="53" t="s">
        <v>8</v>
      </c>
      <c r="E189" s="53" t="s">
        <v>481</v>
      </c>
    </row>
    <row r="190" ht="15.75" customHeight="1">
      <c r="A190" s="52" t="s">
        <v>53</v>
      </c>
      <c r="B190" s="53" t="s">
        <v>482</v>
      </c>
      <c r="C190" s="53" t="s">
        <v>8</v>
      </c>
      <c r="E190" s="53" t="s">
        <v>483</v>
      </c>
    </row>
    <row r="191" ht="15.75" customHeight="1">
      <c r="A191" s="52" t="s">
        <v>53</v>
      </c>
      <c r="B191" s="53" t="s">
        <v>484</v>
      </c>
      <c r="C191" s="53" t="s">
        <v>8</v>
      </c>
      <c r="E191" s="53" t="s">
        <v>485</v>
      </c>
    </row>
    <row r="192" ht="15.75" customHeight="1">
      <c r="A192" s="52" t="s">
        <v>53</v>
      </c>
      <c r="C192" s="53" t="s">
        <v>486</v>
      </c>
      <c r="D192" s="53" t="s">
        <v>485</v>
      </c>
      <c r="E192" s="53" t="s">
        <v>487</v>
      </c>
    </row>
    <row r="193" ht="15.75" customHeight="1">
      <c r="A193" s="52" t="s">
        <v>53</v>
      </c>
      <c r="C193" s="53" t="s">
        <v>488</v>
      </c>
      <c r="D193" s="53" t="s">
        <v>485</v>
      </c>
      <c r="E193" s="53" t="s">
        <v>489</v>
      </c>
    </row>
    <row r="194" ht="15.75" customHeight="1">
      <c r="A194" s="52" t="s">
        <v>53</v>
      </c>
      <c r="C194" s="53" t="s">
        <v>490</v>
      </c>
      <c r="D194" s="53" t="s">
        <v>485</v>
      </c>
      <c r="E194" s="53" t="s">
        <v>491</v>
      </c>
    </row>
    <row r="195" ht="15.75" customHeight="1">
      <c r="A195" s="52" t="s">
        <v>53</v>
      </c>
      <c r="C195" s="53" t="s">
        <v>492</v>
      </c>
      <c r="D195" s="53" t="s">
        <v>485</v>
      </c>
      <c r="E195" s="53" t="s">
        <v>292</v>
      </c>
    </row>
    <row r="196" ht="15.75" customHeight="1">
      <c r="A196" s="52" t="s">
        <v>53</v>
      </c>
      <c r="B196" s="53" t="s">
        <v>493</v>
      </c>
      <c r="C196" s="53" t="s">
        <v>8</v>
      </c>
      <c r="E196" s="53" t="s">
        <v>186</v>
      </c>
    </row>
    <row r="197" ht="15.75" customHeight="1">
      <c r="A197" s="52" t="s">
        <v>53</v>
      </c>
      <c r="B197" s="53" t="s">
        <v>494</v>
      </c>
      <c r="C197" s="53" t="s">
        <v>8</v>
      </c>
      <c r="E197" s="53" t="s">
        <v>188</v>
      </c>
    </row>
    <row r="198" ht="15.75" customHeight="1">
      <c r="A198" s="52" t="s">
        <v>55</v>
      </c>
      <c r="B198" s="53" t="s">
        <v>495</v>
      </c>
      <c r="C198" s="53" t="s">
        <v>8</v>
      </c>
      <c r="E198" s="53" t="s">
        <v>496</v>
      </c>
    </row>
    <row r="199" ht="15.75" customHeight="1">
      <c r="A199" s="52" t="s">
        <v>55</v>
      </c>
      <c r="C199" s="53" t="s">
        <v>497</v>
      </c>
      <c r="D199" s="53" t="s">
        <v>496</v>
      </c>
      <c r="E199" s="53" t="s">
        <v>498</v>
      </c>
    </row>
    <row r="200" ht="15.75" customHeight="1">
      <c r="A200" s="52" t="s">
        <v>55</v>
      </c>
      <c r="C200" s="53" t="s">
        <v>499</v>
      </c>
      <c r="D200" s="53" t="s">
        <v>496</v>
      </c>
      <c r="E200" s="53" t="s">
        <v>500</v>
      </c>
    </row>
    <row r="201" ht="15.75" customHeight="1">
      <c r="A201" s="52" t="s">
        <v>55</v>
      </c>
      <c r="C201" s="53" t="s">
        <v>501</v>
      </c>
      <c r="D201" s="53" t="s">
        <v>496</v>
      </c>
      <c r="E201" s="53" t="s">
        <v>292</v>
      </c>
    </row>
    <row r="202" ht="15.75" customHeight="1">
      <c r="A202" s="52" t="s">
        <v>55</v>
      </c>
      <c r="B202" s="53" t="s">
        <v>502</v>
      </c>
      <c r="C202" s="53" t="s">
        <v>8</v>
      </c>
      <c r="E202" s="53" t="s">
        <v>503</v>
      </c>
    </row>
    <row r="203" ht="15.75" customHeight="1">
      <c r="A203" s="52" t="s">
        <v>55</v>
      </c>
      <c r="C203" s="53" t="s">
        <v>504</v>
      </c>
      <c r="D203" s="53" t="s">
        <v>503</v>
      </c>
      <c r="E203" s="53" t="s">
        <v>505</v>
      </c>
    </row>
    <row r="204" ht="15.75" customHeight="1">
      <c r="A204" s="52" t="s">
        <v>55</v>
      </c>
      <c r="C204" s="53" t="s">
        <v>506</v>
      </c>
      <c r="D204" s="53" t="s">
        <v>503</v>
      </c>
      <c r="E204" s="53" t="s">
        <v>507</v>
      </c>
    </row>
    <row r="205" ht="15.75" customHeight="1">
      <c r="A205" s="52" t="s">
        <v>55</v>
      </c>
      <c r="C205" s="53" t="s">
        <v>508</v>
      </c>
      <c r="D205" s="53" t="s">
        <v>503</v>
      </c>
      <c r="E205" s="53" t="s">
        <v>292</v>
      </c>
    </row>
    <row r="206" ht="15.75" customHeight="1">
      <c r="A206" s="52" t="s">
        <v>55</v>
      </c>
      <c r="B206" s="53" t="s">
        <v>509</v>
      </c>
      <c r="C206" s="53" t="s">
        <v>8</v>
      </c>
      <c r="E206" s="53" t="s">
        <v>186</v>
      </c>
    </row>
    <row r="207" ht="15.75" customHeight="1">
      <c r="A207" s="52" t="s">
        <v>55</v>
      </c>
      <c r="B207" s="53" t="s">
        <v>510</v>
      </c>
      <c r="C207" s="53" t="s">
        <v>8</v>
      </c>
      <c r="E207" s="53" t="s">
        <v>188</v>
      </c>
    </row>
    <row r="208" ht="15.75" customHeight="1">
      <c r="A208" s="52" t="s">
        <v>57</v>
      </c>
      <c r="B208" s="53" t="s">
        <v>511</v>
      </c>
      <c r="C208" s="53" t="s">
        <v>8</v>
      </c>
      <c r="E208" s="53" t="s">
        <v>512</v>
      </c>
    </row>
    <row r="209" ht="15.75" customHeight="1">
      <c r="A209" s="52" t="s">
        <v>57</v>
      </c>
      <c r="C209" s="53" t="s">
        <v>513</v>
      </c>
      <c r="D209" s="53" t="s">
        <v>512</v>
      </c>
      <c r="E209" s="53" t="s">
        <v>514</v>
      </c>
    </row>
    <row r="210" ht="15.75" customHeight="1">
      <c r="A210" s="52" t="s">
        <v>57</v>
      </c>
      <c r="C210" s="53" t="s">
        <v>515</v>
      </c>
      <c r="D210" s="53" t="s">
        <v>512</v>
      </c>
      <c r="E210" s="53" t="s">
        <v>516</v>
      </c>
    </row>
    <row r="211" ht="15.75" customHeight="1">
      <c r="A211" s="52" t="s">
        <v>57</v>
      </c>
      <c r="C211" s="53" t="s">
        <v>517</v>
      </c>
      <c r="D211" s="53" t="s">
        <v>512</v>
      </c>
      <c r="E211" s="53" t="s">
        <v>292</v>
      </c>
    </row>
    <row r="212" ht="15.75" customHeight="1">
      <c r="A212" s="52" t="s">
        <v>57</v>
      </c>
      <c r="B212" s="53" t="s">
        <v>518</v>
      </c>
      <c r="C212" s="53" t="s">
        <v>8</v>
      </c>
      <c r="E212" s="53" t="s">
        <v>519</v>
      </c>
    </row>
    <row r="213" ht="15.75" customHeight="1">
      <c r="A213" s="52" t="s">
        <v>57</v>
      </c>
      <c r="B213" s="53" t="s">
        <v>520</v>
      </c>
      <c r="C213" s="53" t="s">
        <v>8</v>
      </c>
      <c r="E213" s="53" t="s">
        <v>292</v>
      </c>
    </row>
    <row r="214" ht="15.75" customHeight="1">
      <c r="A214" s="52" t="s">
        <v>57</v>
      </c>
      <c r="B214" s="53" t="s">
        <v>521</v>
      </c>
      <c r="C214" s="53" t="s">
        <v>8</v>
      </c>
      <c r="E214" s="53" t="s">
        <v>186</v>
      </c>
    </row>
    <row r="215" ht="15.75" customHeight="1">
      <c r="A215" s="52" t="s">
        <v>57</v>
      </c>
      <c r="B215" s="53" t="s">
        <v>522</v>
      </c>
      <c r="C215" s="53" t="s">
        <v>8</v>
      </c>
      <c r="E215" s="53" t="s">
        <v>188</v>
      </c>
    </row>
    <row r="216" ht="15.75" customHeight="1">
      <c r="A216" s="52" t="s">
        <v>59</v>
      </c>
      <c r="B216" s="53" t="s">
        <v>523</v>
      </c>
      <c r="C216" s="53" t="s">
        <v>8</v>
      </c>
      <c r="E216" s="53" t="s">
        <v>524</v>
      </c>
    </row>
    <row r="217" ht="15.75" customHeight="1">
      <c r="A217" s="52" t="s">
        <v>59</v>
      </c>
      <c r="B217" s="53" t="s">
        <v>525</v>
      </c>
      <c r="C217" s="53" t="s">
        <v>8</v>
      </c>
      <c r="E217" s="53" t="s">
        <v>526</v>
      </c>
    </row>
    <row r="218" ht="15.75" customHeight="1">
      <c r="A218" s="52" t="s">
        <v>59</v>
      </c>
      <c r="B218" s="53" t="s">
        <v>527</v>
      </c>
      <c r="C218" s="53" t="s">
        <v>8</v>
      </c>
      <c r="E218" s="53" t="s">
        <v>528</v>
      </c>
    </row>
    <row r="219" ht="15.75" customHeight="1">
      <c r="A219" s="52" t="s">
        <v>59</v>
      </c>
      <c r="B219" s="53" t="s">
        <v>529</v>
      </c>
      <c r="C219" s="53" t="s">
        <v>8</v>
      </c>
      <c r="E219" s="53" t="s">
        <v>292</v>
      </c>
    </row>
    <row r="220" ht="15.75" customHeight="1">
      <c r="A220" s="52" t="s">
        <v>59</v>
      </c>
      <c r="B220" s="53" t="s">
        <v>530</v>
      </c>
      <c r="C220" s="53" t="s">
        <v>8</v>
      </c>
      <c r="E220" s="53" t="s">
        <v>186</v>
      </c>
    </row>
    <row r="221" ht="15.75" customHeight="1">
      <c r="A221" s="52" t="s">
        <v>59</v>
      </c>
      <c r="B221" s="53" t="s">
        <v>531</v>
      </c>
      <c r="C221" s="53" t="s">
        <v>8</v>
      </c>
      <c r="E221" s="53" t="s">
        <v>188</v>
      </c>
    </row>
    <row r="222" ht="15.75" customHeight="1">
      <c r="A222" s="52" t="s">
        <v>61</v>
      </c>
      <c r="B222" s="53" t="s">
        <v>532</v>
      </c>
      <c r="C222" s="53" t="s">
        <v>8</v>
      </c>
      <c r="E222" s="53" t="s">
        <v>533</v>
      </c>
    </row>
    <row r="223" ht="15.75" customHeight="1">
      <c r="A223" s="52" t="s">
        <v>61</v>
      </c>
      <c r="C223" s="53" t="s">
        <v>534</v>
      </c>
      <c r="D223" s="53" t="s">
        <v>533</v>
      </c>
      <c r="E223" s="53" t="s">
        <v>535</v>
      </c>
    </row>
    <row r="224" ht="15.75" customHeight="1">
      <c r="A224" s="52" t="s">
        <v>61</v>
      </c>
      <c r="C224" s="53" t="s">
        <v>536</v>
      </c>
      <c r="D224" s="53" t="s">
        <v>533</v>
      </c>
      <c r="E224" s="53" t="s">
        <v>537</v>
      </c>
    </row>
    <row r="225" ht="15.75" customHeight="1">
      <c r="A225" s="52" t="s">
        <v>61</v>
      </c>
      <c r="C225" s="53" t="s">
        <v>538</v>
      </c>
      <c r="D225" s="53" t="s">
        <v>533</v>
      </c>
      <c r="E225" s="53" t="s">
        <v>539</v>
      </c>
    </row>
    <row r="226" ht="15.75" customHeight="1">
      <c r="A226" s="52" t="s">
        <v>61</v>
      </c>
      <c r="C226" s="53" t="s">
        <v>540</v>
      </c>
      <c r="D226" s="53" t="s">
        <v>533</v>
      </c>
      <c r="E226" s="53" t="s">
        <v>292</v>
      </c>
    </row>
    <row r="227" ht="15.75" customHeight="1">
      <c r="A227" s="52" t="s">
        <v>61</v>
      </c>
      <c r="B227" s="53" t="s">
        <v>541</v>
      </c>
      <c r="C227" s="53" t="s">
        <v>8</v>
      </c>
      <c r="E227" s="53" t="s">
        <v>542</v>
      </c>
    </row>
    <row r="228" ht="15.75" customHeight="1">
      <c r="A228" s="52" t="s">
        <v>61</v>
      </c>
      <c r="B228" s="53" t="s">
        <v>543</v>
      </c>
      <c r="C228" s="53" t="s">
        <v>8</v>
      </c>
      <c r="E228" s="53" t="s">
        <v>186</v>
      </c>
    </row>
    <row r="229" ht="15.75" customHeight="1">
      <c r="A229" s="52" t="s">
        <v>61</v>
      </c>
      <c r="B229" s="53" t="s">
        <v>544</v>
      </c>
      <c r="C229" s="53" t="s">
        <v>8</v>
      </c>
      <c r="E229" s="53" t="s">
        <v>188</v>
      </c>
    </row>
    <row r="230" ht="15.75" customHeight="1">
      <c r="A230" s="52" t="s">
        <v>63</v>
      </c>
      <c r="B230" s="53" t="s">
        <v>545</v>
      </c>
      <c r="C230" s="53" t="s">
        <v>8</v>
      </c>
      <c r="E230" s="53" t="s">
        <v>546</v>
      </c>
    </row>
    <row r="231" ht="15.75" customHeight="1">
      <c r="A231" s="52" t="s">
        <v>63</v>
      </c>
      <c r="C231" s="53" t="s">
        <v>547</v>
      </c>
      <c r="D231" s="53" t="s">
        <v>548</v>
      </c>
      <c r="E231" s="52" t="s">
        <v>549</v>
      </c>
    </row>
    <row r="232" ht="15.75" customHeight="1">
      <c r="A232" s="52" t="s">
        <v>63</v>
      </c>
      <c r="C232" s="53" t="s">
        <v>550</v>
      </c>
      <c r="D232" s="53" t="s">
        <v>551</v>
      </c>
      <c r="E232" s="53" t="s">
        <v>552</v>
      </c>
    </row>
    <row r="233" ht="15.75" customHeight="1">
      <c r="A233" s="52" t="s">
        <v>63</v>
      </c>
      <c r="C233" s="53" t="s">
        <v>553</v>
      </c>
      <c r="D233" s="53" t="s">
        <v>554</v>
      </c>
      <c r="E233" s="53" t="s">
        <v>555</v>
      </c>
    </row>
    <row r="234" ht="15.75" customHeight="1">
      <c r="A234" s="52" t="s">
        <v>63</v>
      </c>
      <c r="C234" s="53" t="s">
        <v>556</v>
      </c>
      <c r="D234" s="53" t="s">
        <v>557</v>
      </c>
      <c r="E234" s="53" t="s">
        <v>292</v>
      </c>
    </row>
    <row r="235" ht="15.75" customHeight="1">
      <c r="A235" s="52" t="s">
        <v>63</v>
      </c>
      <c r="B235" s="53" t="s">
        <v>558</v>
      </c>
      <c r="C235" s="53" t="s">
        <v>8</v>
      </c>
      <c r="E235" s="53" t="s">
        <v>559</v>
      </c>
    </row>
    <row r="236" ht="15.75" customHeight="1">
      <c r="A236" s="52" t="s">
        <v>63</v>
      </c>
      <c r="B236" s="53" t="s">
        <v>560</v>
      </c>
      <c r="C236" s="53" t="s">
        <v>8</v>
      </c>
      <c r="E236" s="53" t="s">
        <v>292</v>
      </c>
    </row>
    <row r="237" ht="15.75" customHeight="1">
      <c r="A237" s="52" t="s">
        <v>63</v>
      </c>
      <c r="B237" s="53" t="s">
        <v>561</v>
      </c>
      <c r="C237" s="53" t="s">
        <v>8</v>
      </c>
      <c r="E237" s="53" t="s">
        <v>186</v>
      </c>
    </row>
    <row r="238" ht="15.75" customHeight="1">
      <c r="A238" s="52" t="s">
        <v>63</v>
      </c>
      <c r="B238" s="53" t="s">
        <v>562</v>
      </c>
      <c r="C238" s="53" t="s">
        <v>8</v>
      </c>
      <c r="E238" s="53" t="s">
        <v>188</v>
      </c>
    </row>
    <row r="239" ht="15.75" customHeight="1">
      <c r="A239" s="52" t="s">
        <v>65</v>
      </c>
      <c r="B239" s="53" t="s">
        <v>563</v>
      </c>
      <c r="C239" s="53" t="s">
        <v>8</v>
      </c>
      <c r="E239" s="53" t="s">
        <v>296</v>
      </c>
    </row>
    <row r="240" ht="15.75" customHeight="1">
      <c r="A240" s="52" t="s">
        <v>65</v>
      </c>
      <c r="B240" s="53" t="s">
        <v>564</v>
      </c>
      <c r="C240" s="53" t="s">
        <v>8</v>
      </c>
      <c r="E240" s="53" t="s">
        <v>298</v>
      </c>
    </row>
    <row r="241" ht="15.75" customHeight="1">
      <c r="A241" s="52" t="s">
        <v>65</v>
      </c>
      <c r="B241" s="53" t="s">
        <v>565</v>
      </c>
      <c r="C241" s="53" t="s">
        <v>8</v>
      </c>
      <c r="E241" s="53" t="s">
        <v>188</v>
      </c>
    </row>
    <row r="242" ht="15.75" customHeight="1">
      <c r="A242" s="52" t="s">
        <v>67</v>
      </c>
      <c r="B242" s="53" t="s">
        <v>566</v>
      </c>
      <c r="C242" s="53" t="s">
        <v>8</v>
      </c>
      <c r="E242" s="53" t="s">
        <v>567</v>
      </c>
    </row>
    <row r="243" ht="15.75" customHeight="1">
      <c r="A243" s="52" t="s">
        <v>67</v>
      </c>
      <c r="B243" s="53" t="s">
        <v>568</v>
      </c>
      <c r="C243" s="53" t="s">
        <v>8</v>
      </c>
      <c r="E243" s="53" t="s">
        <v>569</v>
      </c>
    </row>
    <row r="244" ht="15.75" customHeight="1">
      <c r="A244" s="52" t="s">
        <v>67</v>
      </c>
      <c r="B244" s="53" t="s">
        <v>570</v>
      </c>
      <c r="C244" s="53" t="s">
        <v>8</v>
      </c>
      <c r="E244" s="53" t="s">
        <v>292</v>
      </c>
    </row>
    <row r="245" ht="15.75" customHeight="1">
      <c r="A245" s="52" t="s">
        <v>67</v>
      </c>
      <c r="B245" s="53" t="s">
        <v>571</v>
      </c>
      <c r="C245" s="53" t="s">
        <v>8</v>
      </c>
      <c r="E245" s="53" t="s">
        <v>186</v>
      </c>
    </row>
    <row r="246" ht="15.75" customHeight="1">
      <c r="A246" s="52" t="s">
        <v>67</v>
      </c>
      <c r="B246" s="53" t="s">
        <v>572</v>
      </c>
      <c r="C246" s="53" t="s">
        <v>8</v>
      </c>
      <c r="E246" s="53" t="s">
        <v>188</v>
      </c>
    </row>
    <row r="247" ht="15.75" customHeight="1">
      <c r="A247" s="52" t="s">
        <v>69</v>
      </c>
      <c r="B247" s="53" t="s">
        <v>573</v>
      </c>
      <c r="C247" s="53" t="s">
        <v>8</v>
      </c>
      <c r="E247" s="53" t="s">
        <v>574</v>
      </c>
    </row>
    <row r="248" ht="15.75" customHeight="1">
      <c r="A248" s="52" t="s">
        <v>69</v>
      </c>
      <c r="C248" s="53" t="s">
        <v>575</v>
      </c>
      <c r="D248" s="53" t="s">
        <v>574</v>
      </c>
      <c r="E248" s="53" t="s">
        <v>576</v>
      </c>
    </row>
    <row r="249" ht="15.75" customHeight="1">
      <c r="A249" s="52" t="s">
        <v>69</v>
      </c>
      <c r="C249" s="53" t="s">
        <v>577</v>
      </c>
      <c r="D249" s="53" t="s">
        <v>574</v>
      </c>
      <c r="E249" s="53" t="s">
        <v>578</v>
      </c>
    </row>
    <row r="250" ht="15.75" customHeight="1">
      <c r="A250" s="52" t="s">
        <v>69</v>
      </c>
      <c r="C250" s="53" t="s">
        <v>579</v>
      </c>
      <c r="D250" s="53" t="s">
        <v>574</v>
      </c>
      <c r="E250" s="53" t="s">
        <v>292</v>
      </c>
    </row>
    <row r="251" ht="15.75" customHeight="1">
      <c r="A251" s="52" t="s">
        <v>69</v>
      </c>
      <c r="B251" s="53" t="s">
        <v>580</v>
      </c>
      <c r="C251" s="53" t="s">
        <v>8</v>
      </c>
      <c r="E251" s="53" t="s">
        <v>581</v>
      </c>
    </row>
    <row r="252" ht="15.75" customHeight="1">
      <c r="A252" s="52" t="s">
        <v>69</v>
      </c>
      <c r="C252" s="53" t="s">
        <v>582</v>
      </c>
      <c r="D252" s="53" t="s">
        <v>581</v>
      </c>
      <c r="E252" s="53" t="s">
        <v>583</v>
      </c>
    </row>
    <row r="253" ht="15.75" customHeight="1">
      <c r="A253" s="52" t="s">
        <v>69</v>
      </c>
      <c r="C253" s="53" t="s">
        <v>584</v>
      </c>
      <c r="D253" s="53" t="s">
        <v>581</v>
      </c>
      <c r="E253" s="53" t="s">
        <v>585</v>
      </c>
    </row>
    <row r="254" ht="15.75" customHeight="1">
      <c r="A254" s="52" t="s">
        <v>69</v>
      </c>
      <c r="C254" s="53" t="s">
        <v>586</v>
      </c>
      <c r="D254" s="53" t="s">
        <v>581</v>
      </c>
      <c r="E254" s="53" t="s">
        <v>292</v>
      </c>
    </row>
    <row r="255" ht="15.75" customHeight="1">
      <c r="A255" s="52" t="s">
        <v>69</v>
      </c>
      <c r="B255" s="53" t="s">
        <v>587</v>
      </c>
      <c r="C255" s="53" t="s">
        <v>8</v>
      </c>
      <c r="E255" s="53" t="s">
        <v>588</v>
      </c>
    </row>
    <row r="256" ht="15.75" customHeight="1">
      <c r="A256" s="52" t="s">
        <v>69</v>
      </c>
      <c r="C256" s="53" t="s">
        <v>589</v>
      </c>
      <c r="D256" s="53" t="s">
        <v>588</v>
      </c>
      <c r="E256" s="53" t="s">
        <v>590</v>
      </c>
    </row>
    <row r="257" ht="15.75" customHeight="1">
      <c r="A257" s="52" t="s">
        <v>69</v>
      </c>
      <c r="C257" s="53" t="s">
        <v>591</v>
      </c>
      <c r="D257" s="53" t="s">
        <v>588</v>
      </c>
      <c r="E257" s="53" t="s">
        <v>592</v>
      </c>
    </row>
    <row r="258" ht="15.75" customHeight="1">
      <c r="A258" s="52" t="s">
        <v>69</v>
      </c>
      <c r="C258" s="53" t="s">
        <v>593</v>
      </c>
      <c r="D258" s="53" t="s">
        <v>588</v>
      </c>
      <c r="E258" s="53" t="s">
        <v>292</v>
      </c>
    </row>
    <row r="259" ht="15.75" customHeight="1">
      <c r="A259" s="52" t="s">
        <v>69</v>
      </c>
      <c r="B259" s="53" t="s">
        <v>594</v>
      </c>
      <c r="C259" s="53" t="s">
        <v>8</v>
      </c>
      <c r="E259" s="53" t="s">
        <v>186</v>
      </c>
    </row>
    <row r="260" ht="15.75" customHeight="1">
      <c r="A260" s="52" t="s">
        <v>69</v>
      </c>
      <c r="B260" s="53" t="s">
        <v>595</v>
      </c>
      <c r="C260" s="53" t="s">
        <v>8</v>
      </c>
      <c r="E260" s="53" t="s">
        <v>188</v>
      </c>
    </row>
    <row r="261" ht="15.75" customHeight="1">
      <c r="A261" s="52" t="s">
        <v>71</v>
      </c>
      <c r="B261" s="53" t="s">
        <v>596</v>
      </c>
      <c r="C261" s="53" t="s">
        <v>8</v>
      </c>
      <c r="E261" s="53" t="s">
        <v>296</v>
      </c>
    </row>
    <row r="262" ht="15.75" customHeight="1">
      <c r="A262" s="52" t="s">
        <v>71</v>
      </c>
      <c r="B262" s="53" t="s">
        <v>597</v>
      </c>
      <c r="C262" s="53" t="s">
        <v>8</v>
      </c>
      <c r="E262" s="53" t="s">
        <v>298</v>
      </c>
    </row>
    <row r="263" ht="15.75" customHeight="1">
      <c r="A263" s="52" t="s">
        <v>71</v>
      </c>
      <c r="B263" s="53" t="s">
        <v>598</v>
      </c>
      <c r="C263" s="53" t="s">
        <v>8</v>
      </c>
      <c r="E263" s="53" t="s">
        <v>188</v>
      </c>
    </row>
    <row r="264" ht="15.75" customHeight="1">
      <c r="A264" s="52" t="s">
        <v>73</v>
      </c>
      <c r="B264" s="53" t="s">
        <v>599</v>
      </c>
      <c r="C264" s="53" t="s">
        <v>8</v>
      </c>
      <c r="E264" s="53" t="s">
        <v>600</v>
      </c>
    </row>
    <row r="265" ht="15.75" customHeight="1">
      <c r="A265" s="52" t="s">
        <v>73</v>
      </c>
      <c r="B265" s="53" t="s">
        <v>601</v>
      </c>
      <c r="C265" s="53" t="s">
        <v>8</v>
      </c>
      <c r="E265" s="53" t="s">
        <v>602</v>
      </c>
    </row>
    <row r="266" ht="15.75" customHeight="1">
      <c r="A266" s="52" t="s">
        <v>73</v>
      </c>
      <c r="B266" s="53" t="s">
        <v>603</v>
      </c>
      <c r="C266" s="53" t="s">
        <v>8</v>
      </c>
      <c r="E266" s="53" t="s">
        <v>604</v>
      </c>
    </row>
    <row r="267" ht="15.75" customHeight="1">
      <c r="A267" s="52" t="s">
        <v>73</v>
      </c>
      <c r="B267" s="53" t="s">
        <v>605</v>
      </c>
      <c r="C267" s="53" t="s">
        <v>8</v>
      </c>
      <c r="E267" s="53" t="s">
        <v>606</v>
      </c>
    </row>
    <row r="268" ht="15.75" customHeight="1">
      <c r="A268" s="52" t="s">
        <v>73</v>
      </c>
      <c r="B268" s="53" t="s">
        <v>607</v>
      </c>
      <c r="C268" s="53" t="s">
        <v>8</v>
      </c>
      <c r="E268" s="53" t="s">
        <v>186</v>
      </c>
    </row>
    <row r="269" ht="15.75" customHeight="1">
      <c r="A269" s="52" t="s">
        <v>73</v>
      </c>
      <c r="B269" s="53" t="s">
        <v>608</v>
      </c>
      <c r="C269" s="53" t="s">
        <v>8</v>
      </c>
      <c r="E269" s="53" t="s">
        <v>188</v>
      </c>
    </row>
    <row r="270" ht="15.75" customHeight="1">
      <c r="A270" s="52" t="s">
        <v>75</v>
      </c>
      <c r="B270" s="53" t="s">
        <v>609</v>
      </c>
      <c r="C270" s="53" t="s">
        <v>8</v>
      </c>
      <c r="E270" s="53" t="s">
        <v>610</v>
      </c>
    </row>
    <row r="271" ht="15.75" customHeight="1">
      <c r="A271" s="52" t="s">
        <v>75</v>
      </c>
      <c r="C271" s="53" t="s">
        <v>611</v>
      </c>
      <c r="D271" s="53" t="s">
        <v>610</v>
      </c>
      <c r="E271" s="53" t="s">
        <v>612</v>
      </c>
    </row>
    <row r="272" ht="15.75" customHeight="1">
      <c r="A272" s="52" t="s">
        <v>75</v>
      </c>
      <c r="C272" s="53" t="s">
        <v>613</v>
      </c>
      <c r="D272" s="53" t="s">
        <v>610</v>
      </c>
      <c r="E272" s="53" t="s">
        <v>614</v>
      </c>
    </row>
    <row r="273" ht="15.75" customHeight="1">
      <c r="A273" s="52" t="s">
        <v>75</v>
      </c>
      <c r="C273" s="53" t="s">
        <v>615</v>
      </c>
      <c r="D273" s="53" t="s">
        <v>610</v>
      </c>
      <c r="E273" s="53" t="s">
        <v>292</v>
      </c>
    </row>
    <row r="274" ht="15.75" customHeight="1">
      <c r="A274" s="52" t="s">
        <v>75</v>
      </c>
      <c r="B274" s="53" t="s">
        <v>616</v>
      </c>
      <c r="C274" s="53" t="s">
        <v>8</v>
      </c>
      <c r="E274" s="53" t="s">
        <v>617</v>
      </c>
    </row>
    <row r="275" ht="15.75" customHeight="1">
      <c r="A275" s="52" t="s">
        <v>75</v>
      </c>
      <c r="B275" s="53" t="s">
        <v>618</v>
      </c>
      <c r="C275" s="53" t="s">
        <v>8</v>
      </c>
      <c r="E275" s="53" t="s">
        <v>186</v>
      </c>
    </row>
    <row r="276" ht="15.75" customHeight="1">
      <c r="A276" s="52" t="s">
        <v>75</v>
      </c>
      <c r="B276" s="53" t="s">
        <v>619</v>
      </c>
      <c r="C276" s="53" t="s">
        <v>8</v>
      </c>
      <c r="E276" s="53" t="s">
        <v>188</v>
      </c>
    </row>
    <row r="277" ht="15.75" customHeight="1">
      <c r="A277" s="52" t="s">
        <v>76</v>
      </c>
      <c r="B277" s="53" t="s">
        <v>620</v>
      </c>
      <c r="C277" s="53" t="s">
        <v>8</v>
      </c>
      <c r="E277" s="53" t="s">
        <v>621</v>
      </c>
    </row>
    <row r="278" ht="15.75" customHeight="1">
      <c r="A278" s="52" t="s">
        <v>76</v>
      </c>
      <c r="B278" s="53" t="s">
        <v>622</v>
      </c>
      <c r="C278" s="53" t="s">
        <v>8</v>
      </c>
      <c r="E278" s="53" t="s">
        <v>623</v>
      </c>
    </row>
    <row r="279" ht="15.75" customHeight="1">
      <c r="A279" s="52" t="s">
        <v>76</v>
      </c>
      <c r="B279" s="53" t="s">
        <v>624</v>
      </c>
      <c r="C279" s="53" t="s">
        <v>8</v>
      </c>
      <c r="E279" s="53" t="s">
        <v>625</v>
      </c>
    </row>
    <row r="280" ht="15.75" customHeight="1">
      <c r="A280" s="52" t="s">
        <v>76</v>
      </c>
      <c r="B280" s="53" t="s">
        <v>626</v>
      </c>
      <c r="C280" s="53" t="s">
        <v>8</v>
      </c>
      <c r="E280" s="53" t="s">
        <v>186</v>
      </c>
    </row>
    <row r="281" ht="15.75" customHeight="1">
      <c r="A281" s="52" t="s">
        <v>76</v>
      </c>
      <c r="B281" s="53" t="s">
        <v>627</v>
      </c>
      <c r="C281" s="53" t="s">
        <v>8</v>
      </c>
      <c r="E281" s="53" t="s">
        <v>188</v>
      </c>
    </row>
    <row r="282" ht="15.75" customHeight="1">
      <c r="A282" s="52" t="s">
        <v>77</v>
      </c>
      <c r="B282" s="53" t="s">
        <v>628</v>
      </c>
      <c r="C282" s="53" t="s">
        <v>8</v>
      </c>
      <c r="E282" s="53" t="s">
        <v>629</v>
      </c>
    </row>
    <row r="283" ht="15.75" customHeight="1">
      <c r="A283" s="52" t="s">
        <v>77</v>
      </c>
      <c r="B283" s="53" t="s">
        <v>630</v>
      </c>
      <c r="C283" s="53" t="s">
        <v>8</v>
      </c>
      <c r="E283" s="53" t="s">
        <v>631</v>
      </c>
    </row>
    <row r="284" ht="15.75" customHeight="1">
      <c r="A284" s="52" t="s">
        <v>77</v>
      </c>
      <c r="B284" s="53" t="s">
        <v>632</v>
      </c>
      <c r="C284" s="53" t="s">
        <v>8</v>
      </c>
      <c r="E284" s="53" t="s">
        <v>188</v>
      </c>
    </row>
    <row r="285" ht="15.75" customHeight="1">
      <c r="A285" s="52" t="s">
        <v>78</v>
      </c>
      <c r="B285" s="53" t="s">
        <v>633</v>
      </c>
      <c r="C285" s="53" t="s">
        <v>8</v>
      </c>
      <c r="E285" s="53" t="s">
        <v>634</v>
      </c>
    </row>
    <row r="286" ht="15.75" customHeight="1">
      <c r="A286" s="52" t="s">
        <v>78</v>
      </c>
      <c r="B286" s="53" t="s">
        <v>635</v>
      </c>
      <c r="C286" s="53" t="s">
        <v>8</v>
      </c>
      <c r="E286" s="53" t="s">
        <v>636</v>
      </c>
    </row>
    <row r="287" ht="15.75" customHeight="1">
      <c r="A287" s="52" t="s">
        <v>78</v>
      </c>
      <c r="B287" s="53" t="s">
        <v>637</v>
      </c>
      <c r="C287" s="53" t="s">
        <v>8</v>
      </c>
      <c r="E287" s="53" t="s">
        <v>638</v>
      </c>
    </row>
    <row r="288" ht="15.75" customHeight="1">
      <c r="A288" s="52" t="s">
        <v>78</v>
      </c>
      <c r="B288" s="53" t="s">
        <v>639</v>
      </c>
      <c r="C288" s="53" t="s">
        <v>8</v>
      </c>
      <c r="E288" s="53" t="s">
        <v>640</v>
      </c>
    </row>
    <row r="289" ht="15.75" customHeight="1">
      <c r="A289" s="52" t="s">
        <v>78</v>
      </c>
      <c r="B289" s="53" t="s">
        <v>641</v>
      </c>
      <c r="C289" s="53" t="s">
        <v>8</v>
      </c>
      <c r="E289" s="53" t="s">
        <v>292</v>
      </c>
    </row>
    <row r="290" ht="15.75" customHeight="1">
      <c r="A290" s="52" t="s">
        <v>78</v>
      </c>
      <c r="B290" s="53" t="s">
        <v>642</v>
      </c>
      <c r="C290" s="53" t="s">
        <v>8</v>
      </c>
      <c r="E290" s="53" t="s">
        <v>186</v>
      </c>
    </row>
    <row r="291" ht="15.75" customHeight="1">
      <c r="A291" s="52" t="s">
        <v>78</v>
      </c>
      <c r="B291" s="53" t="s">
        <v>643</v>
      </c>
      <c r="C291" s="53" t="s">
        <v>8</v>
      </c>
      <c r="E291" s="53" t="s">
        <v>188</v>
      </c>
    </row>
    <row r="292" ht="15.75" customHeight="1">
      <c r="A292" s="52" t="s">
        <v>79</v>
      </c>
      <c r="B292" s="53" t="s">
        <v>644</v>
      </c>
      <c r="C292" s="53" t="s">
        <v>8</v>
      </c>
      <c r="E292" s="53" t="s">
        <v>645</v>
      </c>
    </row>
    <row r="293" ht="15.75" customHeight="1">
      <c r="A293" s="52" t="s">
        <v>79</v>
      </c>
      <c r="C293" s="53" t="s">
        <v>646</v>
      </c>
      <c r="D293" s="53" t="s">
        <v>645</v>
      </c>
      <c r="E293" s="53" t="s">
        <v>647</v>
      </c>
    </row>
    <row r="294" ht="15.75" customHeight="1">
      <c r="A294" s="52" t="s">
        <v>79</v>
      </c>
      <c r="C294" s="53" t="s">
        <v>648</v>
      </c>
      <c r="D294" s="53" t="s">
        <v>645</v>
      </c>
      <c r="E294" s="53" t="s">
        <v>649</v>
      </c>
    </row>
    <row r="295" ht="15.75" customHeight="1">
      <c r="A295" s="52" t="s">
        <v>79</v>
      </c>
      <c r="C295" s="53" t="s">
        <v>650</v>
      </c>
      <c r="D295" s="53" t="s">
        <v>645</v>
      </c>
      <c r="E295" s="53" t="s">
        <v>651</v>
      </c>
    </row>
    <row r="296" ht="15.75" customHeight="1">
      <c r="A296" s="52" t="s">
        <v>79</v>
      </c>
      <c r="C296" s="53" t="s">
        <v>652</v>
      </c>
      <c r="D296" s="53" t="s">
        <v>645</v>
      </c>
      <c r="E296" s="53" t="s">
        <v>653</v>
      </c>
    </row>
    <row r="297" ht="15.75" customHeight="1">
      <c r="A297" s="52" t="s">
        <v>79</v>
      </c>
      <c r="C297" s="53" t="s">
        <v>654</v>
      </c>
      <c r="D297" s="53" t="s">
        <v>645</v>
      </c>
      <c r="E297" s="53" t="s">
        <v>655</v>
      </c>
    </row>
    <row r="298" ht="15.75" customHeight="1">
      <c r="A298" s="52" t="s">
        <v>79</v>
      </c>
      <c r="B298" s="53" t="s">
        <v>656</v>
      </c>
      <c r="C298" s="53" t="s">
        <v>8</v>
      </c>
      <c r="E298" s="53" t="s">
        <v>657</v>
      </c>
    </row>
    <row r="299" ht="15.75" customHeight="1">
      <c r="A299" s="52" t="s">
        <v>79</v>
      </c>
      <c r="C299" s="53" t="s">
        <v>658</v>
      </c>
      <c r="D299" s="53" t="s">
        <v>657</v>
      </c>
      <c r="E299" s="53" t="s">
        <v>659</v>
      </c>
    </row>
    <row r="300" ht="15.75" customHeight="1">
      <c r="A300" s="52" t="s">
        <v>79</v>
      </c>
      <c r="C300" s="53" t="s">
        <v>660</v>
      </c>
      <c r="D300" s="53" t="s">
        <v>657</v>
      </c>
      <c r="E300" s="53" t="s">
        <v>661</v>
      </c>
    </row>
    <row r="301" ht="15.75" customHeight="1">
      <c r="A301" s="52" t="s">
        <v>79</v>
      </c>
      <c r="B301" s="53" t="s">
        <v>662</v>
      </c>
      <c r="C301" s="53" t="s">
        <v>8</v>
      </c>
      <c r="E301" s="53" t="s">
        <v>663</v>
      </c>
    </row>
    <row r="302" ht="15.75" customHeight="1">
      <c r="A302" s="52" t="s">
        <v>79</v>
      </c>
      <c r="C302" s="53" t="s">
        <v>664</v>
      </c>
      <c r="D302" s="53" t="s">
        <v>663</v>
      </c>
      <c r="E302" s="53" t="s">
        <v>665</v>
      </c>
    </row>
    <row r="303" ht="15.75" customHeight="1">
      <c r="A303" s="52" t="s">
        <v>79</v>
      </c>
      <c r="C303" s="53" t="s">
        <v>666</v>
      </c>
      <c r="D303" s="53" t="s">
        <v>663</v>
      </c>
      <c r="E303" s="53" t="s">
        <v>667</v>
      </c>
    </row>
    <row r="304" ht="15.75" customHeight="1">
      <c r="A304" s="52" t="s">
        <v>79</v>
      </c>
      <c r="C304" s="53" t="s">
        <v>668</v>
      </c>
      <c r="D304" s="53" t="s">
        <v>663</v>
      </c>
      <c r="E304" s="53" t="s">
        <v>669</v>
      </c>
    </row>
    <row r="305" ht="15.75" customHeight="1">
      <c r="A305" s="52" t="s">
        <v>79</v>
      </c>
      <c r="C305" s="53" t="s">
        <v>670</v>
      </c>
      <c r="D305" s="53" t="s">
        <v>663</v>
      </c>
      <c r="E305" s="53" t="s">
        <v>671</v>
      </c>
    </row>
    <row r="306" ht="15.75" customHeight="1">
      <c r="A306" s="52" t="s">
        <v>79</v>
      </c>
      <c r="C306" s="53" t="s">
        <v>672</v>
      </c>
      <c r="D306" s="53" t="s">
        <v>663</v>
      </c>
      <c r="E306" s="53" t="s">
        <v>673</v>
      </c>
    </row>
    <row r="307" ht="15.75" customHeight="1">
      <c r="A307" s="52" t="s">
        <v>79</v>
      </c>
      <c r="B307" s="53" t="s">
        <v>674</v>
      </c>
      <c r="C307" s="53" t="s">
        <v>8</v>
      </c>
      <c r="E307" s="53" t="s">
        <v>675</v>
      </c>
    </row>
    <row r="308" ht="15.75" customHeight="1">
      <c r="A308" s="52" t="s">
        <v>79</v>
      </c>
      <c r="B308" s="53" t="s">
        <v>676</v>
      </c>
      <c r="C308" s="53" t="s">
        <v>8</v>
      </c>
      <c r="E308" s="53" t="s">
        <v>677</v>
      </c>
    </row>
    <row r="309" ht="15.75" customHeight="1">
      <c r="A309" s="52" t="s">
        <v>79</v>
      </c>
      <c r="B309" s="53" t="s">
        <v>678</v>
      </c>
      <c r="C309" s="53" t="s">
        <v>8</v>
      </c>
      <c r="E309" s="52" t="s">
        <v>679</v>
      </c>
    </row>
    <row r="310" ht="15.75" customHeight="1">
      <c r="A310" s="52" t="s">
        <v>79</v>
      </c>
      <c r="B310" s="53" t="s">
        <v>680</v>
      </c>
      <c r="C310" s="53" t="s">
        <v>8</v>
      </c>
      <c r="E310" s="53" t="s">
        <v>681</v>
      </c>
    </row>
    <row r="311" ht="15.75" customHeight="1">
      <c r="A311" s="52" t="s">
        <v>79</v>
      </c>
      <c r="B311" s="53" t="s">
        <v>682</v>
      </c>
      <c r="C311" s="53" t="s">
        <v>8</v>
      </c>
      <c r="E311" s="53" t="s">
        <v>683</v>
      </c>
    </row>
    <row r="312" ht="15.75" customHeight="1">
      <c r="A312" s="52" t="s">
        <v>79</v>
      </c>
      <c r="B312" s="53" t="s">
        <v>684</v>
      </c>
      <c r="C312" s="53" t="s">
        <v>8</v>
      </c>
      <c r="E312" s="53" t="s">
        <v>685</v>
      </c>
    </row>
    <row r="313" ht="15.75" customHeight="1">
      <c r="A313" s="52" t="s">
        <v>79</v>
      </c>
      <c r="B313" s="53" t="s">
        <v>686</v>
      </c>
      <c r="C313" s="53" t="s">
        <v>8</v>
      </c>
      <c r="E313" s="53" t="s">
        <v>186</v>
      </c>
    </row>
    <row r="314" ht="15.75" customHeight="1">
      <c r="A314" s="52" t="s">
        <v>79</v>
      </c>
      <c r="B314" s="53" t="s">
        <v>687</v>
      </c>
      <c r="C314" s="53" t="s">
        <v>8</v>
      </c>
      <c r="E314" s="53" t="s">
        <v>188</v>
      </c>
    </row>
    <row r="315" ht="15.75" customHeight="1">
      <c r="A315" s="52" t="s">
        <v>80</v>
      </c>
      <c r="B315" s="53" t="s">
        <v>688</v>
      </c>
      <c r="C315" s="53" t="s">
        <v>8</v>
      </c>
      <c r="E315" s="53" t="s">
        <v>689</v>
      </c>
    </row>
    <row r="316" ht="15.75" customHeight="1">
      <c r="A316" s="52" t="s">
        <v>80</v>
      </c>
      <c r="C316" s="53" t="s">
        <v>690</v>
      </c>
      <c r="D316" s="53" t="s">
        <v>689</v>
      </c>
      <c r="E316" s="53" t="s">
        <v>665</v>
      </c>
    </row>
    <row r="317" ht="15.75" customHeight="1">
      <c r="A317" s="52" t="s">
        <v>80</v>
      </c>
      <c r="C317" s="53" t="s">
        <v>691</v>
      </c>
      <c r="D317" s="53" t="s">
        <v>689</v>
      </c>
      <c r="E317" s="53" t="s">
        <v>667</v>
      </c>
    </row>
    <row r="318" ht="15.75" customHeight="1">
      <c r="A318" s="52" t="s">
        <v>80</v>
      </c>
      <c r="C318" s="53" t="s">
        <v>692</v>
      </c>
      <c r="D318" s="53" t="s">
        <v>689</v>
      </c>
      <c r="E318" s="53" t="s">
        <v>669</v>
      </c>
    </row>
    <row r="319" ht="15.75" customHeight="1">
      <c r="A319" s="52" t="s">
        <v>80</v>
      </c>
      <c r="C319" s="53" t="s">
        <v>693</v>
      </c>
      <c r="D319" s="53" t="s">
        <v>689</v>
      </c>
      <c r="E319" s="53" t="s">
        <v>671</v>
      </c>
    </row>
    <row r="320" ht="15.75" customHeight="1">
      <c r="A320" s="52" t="s">
        <v>80</v>
      </c>
      <c r="C320" s="53" t="s">
        <v>694</v>
      </c>
      <c r="D320" s="53" t="s">
        <v>689</v>
      </c>
      <c r="E320" s="53" t="s">
        <v>673</v>
      </c>
    </row>
    <row r="321" ht="15.75" customHeight="1">
      <c r="A321" s="52" t="s">
        <v>80</v>
      </c>
      <c r="B321" s="53" t="s">
        <v>695</v>
      </c>
      <c r="C321" s="53" t="s">
        <v>8</v>
      </c>
      <c r="E321" s="53" t="s">
        <v>696</v>
      </c>
    </row>
    <row r="322" ht="15.75" customHeight="1">
      <c r="A322" s="52" t="s">
        <v>80</v>
      </c>
      <c r="C322" s="53" t="s">
        <v>697</v>
      </c>
      <c r="D322" s="53" t="s">
        <v>696</v>
      </c>
      <c r="E322" s="53" t="s">
        <v>665</v>
      </c>
    </row>
    <row r="323" ht="15.75" customHeight="1">
      <c r="A323" s="52" t="s">
        <v>80</v>
      </c>
      <c r="C323" s="53" t="s">
        <v>698</v>
      </c>
      <c r="D323" s="53" t="s">
        <v>696</v>
      </c>
      <c r="E323" s="53" t="s">
        <v>667</v>
      </c>
    </row>
    <row r="324" ht="15.75" customHeight="1">
      <c r="A324" s="52" t="s">
        <v>80</v>
      </c>
      <c r="C324" s="53" t="s">
        <v>699</v>
      </c>
      <c r="D324" s="53" t="s">
        <v>696</v>
      </c>
      <c r="E324" s="53" t="s">
        <v>669</v>
      </c>
    </row>
    <row r="325" ht="15.75" customHeight="1">
      <c r="A325" s="52" t="s">
        <v>80</v>
      </c>
      <c r="C325" s="53" t="s">
        <v>700</v>
      </c>
      <c r="D325" s="53" t="s">
        <v>696</v>
      </c>
      <c r="E325" s="53" t="s">
        <v>671</v>
      </c>
    </row>
    <row r="326" ht="15.75" customHeight="1">
      <c r="A326" s="52" t="s">
        <v>80</v>
      </c>
      <c r="C326" s="53" t="s">
        <v>701</v>
      </c>
      <c r="D326" s="53" t="s">
        <v>696</v>
      </c>
      <c r="E326" s="53" t="s">
        <v>673</v>
      </c>
    </row>
    <row r="327" ht="15.75" customHeight="1">
      <c r="A327" s="52" t="s">
        <v>80</v>
      </c>
      <c r="B327" s="53" t="s">
        <v>702</v>
      </c>
      <c r="C327" s="53" t="s">
        <v>8</v>
      </c>
      <c r="E327" s="53" t="s">
        <v>703</v>
      </c>
    </row>
    <row r="328" ht="15.75" customHeight="1">
      <c r="A328" s="52" t="s">
        <v>80</v>
      </c>
      <c r="C328" s="53" t="s">
        <v>704</v>
      </c>
      <c r="D328" s="53" t="s">
        <v>703</v>
      </c>
      <c r="E328" s="53" t="s">
        <v>705</v>
      </c>
    </row>
    <row r="329" ht="15.75" customHeight="1">
      <c r="A329" s="52" t="s">
        <v>80</v>
      </c>
      <c r="C329" s="53" t="s">
        <v>706</v>
      </c>
      <c r="D329" s="53" t="s">
        <v>703</v>
      </c>
      <c r="E329" s="53" t="s">
        <v>707</v>
      </c>
    </row>
    <row r="330" ht="15.75" customHeight="1">
      <c r="A330" s="52" t="s">
        <v>80</v>
      </c>
      <c r="B330" s="53" t="s">
        <v>708</v>
      </c>
      <c r="C330" s="53" t="s">
        <v>8</v>
      </c>
      <c r="E330" s="53" t="s">
        <v>186</v>
      </c>
    </row>
    <row r="331" ht="15.75" customHeight="1">
      <c r="A331" s="52" t="s">
        <v>80</v>
      </c>
      <c r="B331" s="53" t="s">
        <v>709</v>
      </c>
      <c r="C331" s="53" t="s">
        <v>8</v>
      </c>
      <c r="E331" s="53" t="s">
        <v>188</v>
      </c>
    </row>
    <row r="332" ht="15.75" customHeight="1">
      <c r="A332" s="52" t="s">
        <v>81</v>
      </c>
      <c r="B332" s="53" t="s">
        <v>710</v>
      </c>
      <c r="C332" s="53" t="s">
        <v>8</v>
      </c>
      <c r="E332" s="52" t="s">
        <v>711</v>
      </c>
    </row>
    <row r="333" ht="15.75" customHeight="1">
      <c r="A333" s="52" t="s">
        <v>81</v>
      </c>
      <c r="B333" s="53" t="s">
        <v>712</v>
      </c>
      <c r="C333" s="53" t="s">
        <v>8</v>
      </c>
      <c r="E333" s="53" t="s">
        <v>713</v>
      </c>
    </row>
    <row r="334" ht="15.75" customHeight="1">
      <c r="A334" s="52" t="s">
        <v>81</v>
      </c>
      <c r="B334" s="53" t="s">
        <v>714</v>
      </c>
      <c r="C334" s="53" t="s">
        <v>8</v>
      </c>
      <c r="E334" s="53" t="s">
        <v>715</v>
      </c>
    </row>
    <row r="335" ht="15.75" customHeight="1">
      <c r="A335" s="52" t="s">
        <v>81</v>
      </c>
      <c r="B335" s="53" t="s">
        <v>716</v>
      </c>
      <c r="C335" s="53" t="s">
        <v>8</v>
      </c>
      <c r="E335" s="53" t="s">
        <v>717</v>
      </c>
    </row>
    <row r="336" ht="15.75" customHeight="1">
      <c r="A336" s="52" t="s">
        <v>81</v>
      </c>
      <c r="B336" s="53" t="s">
        <v>718</v>
      </c>
      <c r="C336" s="53" t="s">
        <v>8</v>
      </c>
      <c r="E336" s="53" t="s">
        <v>292</v>
      </c>
    </row>
    <row r="337" ht="15.75" customHeight="1">
      <c r="A337" s="52" t="s">
        <v>81</v>
      </c>
      <c r="B337" s="53" t="s">
        <v>719</v>
      </c>
      <c r="C337" s="53" t="s">
        <v>8</v>
      </c>
      <c r="E337" s="53" t="s">
        <v>186</v>
      </c>
    </row>
    <row r="338" ht="15.75" customHeight="1">
      <c r="A338" s="52" t="s">
        <v>81</v>
      </c>
      <c r="B338" s="53" t="s">
        <v>720</v>
      </c>
      <c r="C338" s="53" t="s">
        <v>8</v>
      </c>
      <c r="E338" s="53" t="s">
        <v>188</v>
      </c>
    </row>
    <row r="339" ht="15.75" customHeight="1">
      <c r="A339" s="52" t="s">
        <v>82</v>
      </c>
      <c r="B339" s="53" t="s">
        <v>721</v>
      </c>
      <c r="C339" s="53" t="s">
        <v>8</v>
      </c>
      <c r="E339" s="53" t="s">
        <v>722</v>
      </c>
    </row>
    <row r="340" ht="15.75" customHeight="1">
      <c r="A340" s="52" t="s">
        <v>82</v>
      </c>
      <c r="B340" s="53" t="s">
        <v>723</v>
      </c>
      <c r="C340" s="53" t="s">
        <v>8</v>
      </c>
      <c r="E340" s="53" t="s">
        <v>724</v>
      </c>
    </row>
    <row r="341" ht="15.75" customHeight="1">
      <c r="A341" s="52" t="s">
        <v>82</v>
      </c>
      <c r="B341" s="53" t="s">
        <v>725</v>
      </c>
      <c r="C341" s="53" t="s">
        <v>8</v>
      </c>
      <c r="E341" s="53" t="s">
        <v>726</v>
      </c>
    </row>
    <row r="342" ht="15.75" customHeight="1">
      <c r="A342" s="52" t="s">
        <v>82</v>
      </c>
      <c r="B342" s="53" t="s">
        <v>727</v>
      </c>
      <c r="C342" s="53" t="s">
        <v>8</v>
      </c>
      <c r="E342" s="53" t="s">
        <v>728</v>
      </c>
    </row>
    <row r="343" ht="15.75" customHeight="1">
      <c r="A343" s="52" t="s">
        <v>82</v>
      </c>
      <c r="B343" s="53" t="s">
        <v>729</v>
      </c>
      <c r="C343" s="53" t="s">
        <v>8</v>
      </c>
      <c r="E343" s="53" t="s">
        <v>730</v>
      </c>
    </row>
    <row r="344" ht="15.75" customHeight="1">
      <c r="A344" s="52" t="s">
        <v>82</v>
      </c>
      <c r="B344" s="53" t="s">
        <v>731</v>
      </c>
      <c r="C344" s="53" t="s">
        <v>8</v>
      </c>
      <c r="E344" s="53" t="s">
        <v>292</v>
      </c>
    </row>
    <row r="345" ht="15.75" customHeight="1">
      <c r="A345" s="52" t="s">
        <v>82</v>
      </c>
      <c r="B345" s="53" t="s">
        <v>732</v>
      </c>
      <c r="C345" s="53" t="s">
        <v>8</v>
      </c>
      <c r="E345" s="53" t="s">
        <v>186</v>
      </c>
    </row>
    <row r="346" ht="15.75" customHeight="1">
      <c r="A346" s="52" t="s">
        <v>82</v>
      </c>
      <c r="B346" s="53" t="s">
        <v>733</v>
      </c>
      <c r="C346" s="53" t="s">
        <v>8</v>
      </c>
      <c r="E346" s="53" t="s">
        <v>188</v>
      </c>
    </row>
    <row r="347" ht="15.75" customHeight="1">
      <c r="A347" s="52" t="s">
        <v>83</v>
      </c>
      <c r="B347" s="53" t="s">
        <v>734</v>
      </c>
      <c r="C347" s="53" t="s">
        <v>8</v>
      </c>
      <c r="E347" s="53" t="s">
        <v>735</v>
      </c>
    </row>
    <row r="348" ht="15.75" customHeight="1">
      <c r="A348" s="52" t="s">
        <v>83</v>
      </c>
      <c r="B348" s="53" t="s">
        <v>736</v>
      </c>
      <c r="C348" s="53" t="s">
        <v>8</v>
      </c>
      <c r="E348" s="53" t="s">
        <v>737</v>
      </c>
    </row>
    <row r="349" ht="15.75" customHeight="1">
      <c r="A349" s="52" t="s">
        <v>83</v>
      </c>
      <c r="B349" s="53" t="s">
        <v>738</v>
      </c>
      <c r="C349" s="53" t="s">
        <v>8</v>
      </c>
      <c r="E349" s="53" t="s">
        <v>739</v>
      </c>
    </row>
    <row r="350" ht="15.75" customHeight="1">
      <c r="A350" s="52" t="s">
        <v>83</v>
      </c>
      <c r="B350" s="53" t="s">
        <v>740</v>
      </c>
      <c r="C350" s="53" t="s">
        <v>8</v>
      </c>
      <c r="E350" s="53" t="s">
        <v>186</v>
      </c>
    </row>
    <row r="351" ht="15.75" customHeight="1">
      <c r="A351" s="52" t="s">
        <v>83</v>
      </c>
      <c r="B351" s="53" t="s">
        <v>741</v>
      </c>
      <c r="C351" s="53" t="s">
        <v>8</v>
      </c>
      <c r="E351" s="53" t="s">
        <v>188</v>
      </c>
    </row>
    <row r="352" ht="15.75" customHeight="1">
      <c r="A352" s="52" t="s">
        <v>84</v>
      </c>
      <c r="B352" s="53" t="s">
        <v>742</v>
      </c>
      <c r="C352" s="53" t="s">
        <v>8</v>
      </c>
      <c r="E352" s="53" t="s">
        <v>743</v>
      </c>
    </row>
    <row r="353" ht="15.75" customHeight="1">
      <c r="A353" s="52" t="s">
        <v>84</v>
      </c>
      <c r="B353" s="53" t="s">
        <v>744</v>
      </c>
      <c r="C353" s="53" t="s">
        <v>8</v>
      </c>
      <c r="E353" s="53" t="s">
        <v>745</v>
      </c>
    </row>
    <row r="354" ht="15.75" customHeight="1">
      <c r="A354" s="52" t="s">
        <v>84</v>
      </c>
      <c r="B354" s="53" t="s">
        <v>746</v>
      </c>
      <c r="C354" s="53" t="s">
        <v>8</v>
      </c>
      <c r="E354" s="53" t="s">
        <v>747</v>
      </c>
    </row>
    <row r="355" ht="15.75" customHeight="1">
      <c r="A355" s="52" t="s">
        <v>84</v>
      </c>
      <c r="C355" s="53" t="s">
        <v>748</v>
      </c>
      <c r="D355" s="53" t="s">
        <v>749</v>
      </c>
      <c r="E355" s="53" t="s">
        <v>750</v>
      </c>
    </row>
    <row r="356" ht="15.75" customHeight="1">
      <c r="A356" s="52" t="s">
        <v>84</v>
      </c>
      <c r="C356" s="53" t="s">
        <v>751</v>
      </c>
      <c r="D356" s="53" t="s">
        <v>752</v>
      </c>
      <c r="E356" s="53" t="s">
        <v>753</v>
      </c>
    </row>
    <row r="357" ht="15.75" customHeight="1">
      <c r="A357" s="52" t="s">
        <v>84</v>
      </c>
      <c r="B357" s="53" t="s">
        <v>754</v>
      </c>
      <c r="C357" s="53" t="s">
        <v>8</v>
      </c>
      <c r="E357" s="53" t="s">
        <v>188</v>
      </c>
    </row>
    <row r="358" ht="15.75" customHeight="1">
      <c r="A358" s="52" t="s">
        <v>85</v>
      </c>
      <c r="B358" s="53" t="s">
        <v>755</v>
      </c>
      <c r="C358" s="53" t="s">
        <v>8</v>
      </c>
      <c r="E358" s="53" t="s">
        <v>296</v>
      </c>
    </row>
    <row r="359" ht="15.75" customHeight="1">
      <c r="A359" s="52" t="s">
        <v>85</v>
      </c>
      <c r="B359" s="53" t="s">
        <v>756</v>
      </c>
      <c r="C359" s="53" t="s">
        <v>8</v>
      </c>
      <c r="E359" s="53" t="s">
        <v>298</v>
      </c>
    </row>
    <row r="360" ht="15.75" customHeight="1">
      <c r="A360" s="52" t="s">
        <v>85</v>
      </c>
      <c r="B360" s="53" t="s">
        <v>757</v>
      </c>
      <c r="C360" s="53" t="s">
        <v>8</v>
      </c>
      <c r="E360" s="53" t="s">
        <v>188</v>
      </c>
    </row>
    <row r="361" ht="15.75" customHeight="1">
      <c r="A361" s="52" t="s">
        <v>86</v>
      </c>
      <c r="B361" s="53" t="s">
        <v>758</v>
      </c>
      <c r="C361" s="53" t="s">
        <v>8</v>
      </c>
      <c r="E361" s="53" t="s">
        <v>759</v>
      </c>
    </row>
    <row r="362" ht="15.75" customHeight="1">
      <c r="A362" s="52" t="s">
        <v>86</v>
      </c>
      <c r="B362" s="53" t="s">
        <v>760</v>
      </c>
      <c r="C362" s="53" t="s">
        <v>8</v>
      </c>
      <c r="E362" s="53" t="s">
        <v>761</v>
      </c>
    </row>
    <row r="363" ht="15.75" customHeight="1">
      <c r="A363" s="52" t="s">
        <v>86</v>
      </c>
      <c r="B363" s="53" t="s">
        <v>762</v>
      </c>
      <c r="C363" s="53" t="s">
        <v>8</v>
      </c>
      <c r="E363" s="53" t="s">
        <v>763</v>
      </c>
    </row>
    <row r="364" ht="15.75" customHeight="1">
      <c r="A364" s="52" t="s">
        <v>86</v>
      </c>
      <c r="B364" s="53" t="s">
        <v>764</v>
      </c>
      <c r="C364" s="53" t="s">
        <v>8</v>
      </c>
      <c r="E364" s="53" t="s">
        <v>186</v>
      </c>
    </row>
    <row r="365" ht="15.75" customHeight="1">
      <c r="A365" s="52" t="s">
        <v>86</v>
      </c>
      <c r="B365" s="53" t="s">
        <v>765</v>
      </c>
      <c r="C365" s="53" t="s">
        <v>8</v>
      </c>
      <c r="E365" s="53" t="s">
        <v>188</v>
      </c>
    </row>
    <row r="366" ht="15.75" customHeight="1">
      <c r="A366" s="52" t="s">
        <v>87</v>
      </c>
      <c r="B366" s="53" t="s">
        <v>766</v>
      </c>
      <c r="C366" s="53" t="s">
        <v>8</v>
      </c>
      <c r="E366" s="53" t="s">
        <v>767</v>
      </c>
    </row>
    <row r="367" ht="15.75" customHeight="1">
      <c r="A367" s="52" t="s">
        <v>87</v>
      </c>
      <c r="B367" s="53" t="s">
        <v>768</v>
      </c>
      <c r="C367" s="53" t="s">
        <v>8</v>
      </c>
      <c r="E367" s="53" t="s">
        <v>769</v>
      </c>
    </row>
    <row r="368" ht="15.75" customHeight="1">
      <c r="A368" s="52" t="s">
        <v>87</v>
      </c>
      <c r="B368" s="53" t="s">
        <v>770</v>
      </c>
      <c r="C368" s="53" t="s">
        <v>8</v>
      </c>
      <c r="E368" s="53" t="s">
        <v>186</v>
      </c>
    </row>
    <row r="369" ht="15.75" customHeight="1">
      <c r="A369" s="52" t="s">
        <v>87</v>
      </c>
      <c r="B369" s="53" t="s">
        <v>771</v>
      </c>
      <c r="C369" s="53" t="s">
        <v>8</v>
      </c>
      <c r="E369" s="53" t="s">
        <v>188</v>
      </c>
    </row>
    <row r="370" ht="15.75" customHeight="1">
      <c r="A370" s="52" t="s">
        <v>88</v>
      </c>
      <c r="B370" s="53" t="s">
        <v>772</v>
      </c>
      <c r="C370" s="53" t="s">
        <v>8</v>
      </c>
      <c r="E370" s="53" t="s">
        <v>773</v>
      </c>
    </row>
    <row r="371" ht="15.75" customHeight="1">
      <c r="A371" s="52" t="s">
        <v>88</v>
      </c>
      <c r="B371" s="53" t="s">
        <v>774</v>
      </c>
      <c r="C371" s="53" t="s">
        <v>8</v>
      </c>
      <c r="E371" s="53" t="s">
        <v>775</v>
      </c>
    </row>
    <row r="372" ht="15.75" customHeight="1">
      <c r="A372" s="52" t="s">
        <v>88</v>
      </c>
      <c r="B372" s="53" t="s">
        <v>776</v>
      </c>
      <c r="C372" s="53" t="s">
        <v>8</v>
      </c>
      <c r="E372" s="53" t="s">
        <v>188</v>
      </c>
    </row>
    <row r="373" ht="15.75" customHeight="1">
      <c r="A373" s="52" t="s">
        <v>89</v>
      </c>
      <c r="B373" s="53" t="s">
        <v>777</v>
      </c>
      <c r="C373" s="53" t="s">
        <v>8</v>
      </c>
      <c r="E373" s="53" t="s">
        <v>634</v>
      </c>
    </row>
    <row r="374" ht="15.75" customHeight="1">
      <c r="A374" s="52" t="s">
        <v>89</v>
      </c>
      <c r="B374" s="53" t="s">
        <v>778</v>
      </c>
      <c r="C374" s="53" t="s">
        <v>8</v>
      </c>
      <c r="E374" s="53" t="s">
        <v>779</v>
      </c>
    </row>
    <row r="375" ht="15.75" customHeight="1">
      <c r="A375" s="52" t="s">
        <v>89</v>
      </c>
      <c r="B375" s="53" t="s">
        <v>780</v>
      </c>
      <c r="C375" s="53" t="s">
        <v>8</v>
      </c>
      <c r="E375" s="53" t="s">
        <v>781</v>
      </c>
    </row>
    <row r="376" ht="15.75" customHeight="1">
      <c r="A376" s="52" t="s">
        <v>89</v>
      </c>
      <c r="B376" s="53" t="s">
        <v>782</v>
      </c>
      <c r="C376" s="53" t="s">
        <v>8</v>
      </c>
      <c r="E376" s="53" t="s">
        <v>783</v>
      </c>
    </row>
    <row r="377" ht="15.75" customHeight="1">
      <c r="A377" s="52" t="s">
        <v>89</v>
      </c>
      <c r="B377" s="53" t="s">
        <v>784</v>
      </c>
      <c r="C377" s="53" t="s">
        <v>8</v>
      </c>
      <c r="E377" s="53" t="s">
        <v>292</v>
      </c>
    </row>
    <row r="378" ht="15.75" customHeight="1">
      <c r="A378" s="52" t="s">
        <v>89</v>
      </c>
      <c r="B378" s="53" t="s">
        <v>785</v>
      </c>
      <c r="C378" s="53" t="s">
        <v>8</v>
      </c>
      <c r="E378" s="53" t="s">
        <v>186</v>
      </c>
    </row>
    <row r="379" ht="15.75" customHeight="1">
      <c r="A379" s="52" t="s">
        <v>89</v>
      </c>
      <c r="B379" s="53" t="s">
        <v>786</v>
      </c>
      <c r="C379" s="53" t="s">
        <v>8</v>
      </c>
      <c r="E379" s="53" t="s">
        <v>188</v>
      </c>
    </row>
    <row r="380" ht="15.75" customHeight="1">
      <c r="A380" s="52" t="s">
        <v>91</v>
      </c>
      <c r="B380" s="53" t="s">
        <v>787</v>
      </c>
      <c r="C380" s="53" t="s">
        <v>8</v>
      </c>
      <c r="E380" s="53" t="s">
        <v>788</v>
      </c>
    </row>
    <row r="381" ht="15.75" customHeight="1">
      <c r="A381" s="52" t="s">
        <v>91</v>
      </c>
      <c r="B381" s="53" t="s">
        <v>789</v>
      </c>
      <c r="C381" s="53" t="s">
        <v>8</v>
      </c>
      <c r="E381" s="53" t="s">
        <v>790</v>
      </c>
    </row>
    <row r="382" ht="15.75" customHeight="1">
      <c r="A382" s="52" t="s">
        <v>91</v>
      </c>
      <c r="B382" s="53" t="s">
        <v>791</v>
      </c>
      <c r="C382" s="53" t="s">
        <v>8</v>
      </c>
      <c r="E382" s="53" t="s">
        <v>792</v>
      </c>
    </row>
    <row r="383" ht="15.75" customHeight="1">
      <c r="A383" s="52" t="s">
        <v>91</v>
      </c>
      <c r="B383" s="53" t="s">
        <v>793</v>
      </c>
      <c r="C383" s="53" t="s">
        <v>8</v>
      </c>
      <c r="E383" s="53" t="s">
        <v>186</v>
      </c>
    </row>
    <row r="384" ht="15.75" customHeight="1">
      <c r="A384" s="52" t="s">
        <v>91</v>
      </c>
      <c r="B384" s="53" t="s">
        <v>794</v>
      </c>
      <c r="C384" s="53" t="s">
        <v>8</v>
      </c>
      <c r="E384" s="53" t="s">
        <v>188</v>
      </c>
    </row>
    <row r="385" ht="15.75" customHeight="1">
      <c r="A385" s="52" t="s">
        <v>93</v>
      </c>
      <c r="B385" s="53" t="s">
        <v>795</v>
      </c>
      <c r="C385" s="53" t="s">
        <v>8</v>
      </c>
      <c r="E385" s="53" t="s">
        <v>796</v>
      </c>
    </row>
    <row r="386" ht="15.75" customHeight="1">
      <c r="A386" s="52" t="s">
        <v>93</v>
      </c>
      <c r="B386" s="53" t="s">
        <v>797</v>
      </c>
      <c r="C386" s="53" t="s">
        <v>8</v>
      </c>
      <c r="E386" s="53" t="s">
        <v>798</v>
      </c>
    </row>
    <row r="387" ht="15.75" customHeight="1">
      <c r="A387" s="52" t="s">
        <v>93</v>
      </c>
      <c r="B387" s="53" t="s">
        <v>799</v>
      </c>
      <c r="C387" s="53" t="s">
        <v>8</v>
      </c>
      <c r="E387" s="53" t="s">
        <v>800</v>
      </c>
    </row>
    <row r="388" ht="15.75" customHeight="1">
      <c r="A388" s="52" t="s">
        <v>93</v>
      </c>
      <c r="C388" s="53" t="s">
        <v>801</v>
      </c>
      <c r="D388" s="53" t="s">
        <v>800</v>
      </c>
      <c r="E388" s="53" t="s">
        <v>802</v>
      </c>
    </row>
    <row r="389" ht="15.75" customHeight="1">
      <c r="A389" s="52" t="s">
        <v>93</v>
      </c>
      <c r="C389" s="53" t="s">
        <v>803</v>
      </c>
      <c r="D389" s="53" t="s">
        <v>800</v>
      </c>
      <c r="E389" s="53" t="s">
        <v>804</v>
      </c>
    </row>
    <row r="390" ht="15.75" customHeight="1">
      <c r="A390" s="52" t="s">
        <v>93</v>
      </c>
      <c r="C390" s="53" t="s">
        <v>805</v>
      </c>
      <c r="D390" s="53" t="s">
        <v>800</v>
      </c>
      <c r="E390" s="53" t="s">
        <v>806</v>
      </c>
    </row>
    <row r="391" ht="15.75" customHeight="1">
      <c r="A391" s="52" t="s">
        <v>93</v>
      </c>
      <c r="C391" s="53" t="s">
        <v>807</v>
      </c>
      <c r="D391" s="53" t="s">
        <v>800</v>
      </c>
      <c r="E391" s="53" t="s">
        <v>292</v>
      </c>
    </row>
    <row r="392" ht="15.75" customHeight="1">
      <c r="A392" s="52" t="s">
        <v>93</v>
      </c>
      <c r="B392" s="53" t="s">
        <v>808</v>
      </c>
      <c r="C392" s="53" t="s">
        <v>8</v>
      </c>
      <c r="E392" s="53" t="s">
        <v>809</v>
      </c>
    </row>
    <row r="393" ht="15.75" customHeight="1">
      <c r="A393" s="52" t="s">
        <v>93</v>
      </c>
      <c r="B393" s="53" t="s">
        <v>810</v>
      </c>
      <c r="C393" s="53" t="s">
        <v>8</v>
      </c>
      <c r="E393" s="53" t="s">
        <v>186</v>
      </c>
    </row>
    <row r="394" ht="15.75" customHeight="1">
      <c r="A394" s="52" t="s">
        <v>93</v>
      </c>
      <c r="B394" s="53" t="s">
        <v>811</v>
      </c>
      <c r="C394" s="53" t="s">
        <v>8</v>
      </c>
      <c r="E394" s="53" t="s">
        <v>188</v>
      </c>
    </row>
    <row r="395" ht="15.75" customHeight="1">
      <c r="A395" s="52" t="s">
        <v>94</v>
      </c>
      <c r="B395" s="53" t="s">
        <v>812</v>
      </c>
      <c r="C395" s="53" t="s">
        <v>8</v>
      </c>
      <c r="E395" s="53" t="s">
        <v>813</v>
      </c>
    </row>
    <row r="396" ht="15.75" customHeight="1">
      <c r="A396" s="52" t="s">
        <v>94</v>
      </c>
      <c r="B396" s="53" t="s">
        <v>814</v>
      </c>
      <c r="C396" s="53" t="s">
        <v>8</v>
      </c>
      <c r="E396" s="52" t="s">
        <v>815</v>
      </c>
    </row>
    <row r="397" ht="15.75" customHeight="1">
      <c r="A397" s="52" t="s">
        <v>94</v>
      </c>
      <c r="B397" s="53" t="s">
        <v>816</v>
      </c>
      <c r="C397" s="53" t="s">
        <v>8</v>
      </c>
      <c r="E397" s="53" t="s">
        <v>817</v>
      </c>
    </row>
    <row r="398" ht="15.75" customHeight="1">
      <c r="A398" s="52" t="s">
        <v>94</v>
      </c>
      <c r="B398" s="53" t="s">
        <v>818</v>
      </c>
      <c r="C398" s="53" t="s">
        <v>8</v>
      </c>
      <c r="E398" s="53" t="s">
        <v>819</v>
      </c>
    </row>
    <row r="399" ht="15.75" customHeight="1">
      <c r="A399" s="52" t="s">
        <v>94</v>
      </c>
      <c r="B399" s="53" t="s">
        <v>820</v>
      </c>
      <c r="C399" s="53" t="s">
        <v>8</v>
      </c>
      <c r="E399" s="53" t="s">
        <v>188</v>
      </c>
    </row>
    <row r="400" ht="15.75" customHeight="1">
      <c r="A400" s="52" t="s">
        <v>95</v>
      </c>
      <c r="B400" s="53" t="s">
        <v>821</v>
      </c>
      <c r="C400" s="53" t="s">
        <v>8</v>
      </c>
      <c r="E400" s="53" t="s">
        <v>822</v>
      </c>
    </row>
    <row r="401" ht="15.75" customHeight="1">
      <c r="A401" s="52" t="s">
        <v>95</v>
      </c>
      <c r="B401" s="53" t="s">
        <v>823</v>
      </c>
      <c r="C401" s="53" t="s">
        <v>8</v>
      </c>
      <c r="E401" s="53" t="s">
        <v>824</v>
      </c>
    </row>
    <row r="402" ht="15.75" customHeight="1">
      <c r="A402" s="52" t="s">
        <v>95</v>
      </c>
      <c r="B402" s="53" t="s">
        <v>825</v>
      </c>
      <c r="C402" s="53" t="s">
        <v>8</v>
      </c>
      <c r="E402" s="53" t="s">
        <v>826</v>
      </c>
    </row>
    <row r="403" ht="15.75" customHeight="1">
      <c r="A403" s="52" t="s">
        <v>95</v>
      </c>
      <c r="B403" s="53" t="s">
        <v>827</v>
      </c>
      <c r="C403" s="53" t="s">
        <v>8</v>
      </c>
      <c r="E403" s="53" t="s">
        <v>828</v>
      </c>
    </row>
    <row r="404" ht="15.75" customHeight="1">
      <c r="A404" s="52" t="s">
        <v>95</v>
      </c>
      <c r="B404" s="53" t="s">
        <v>829</v>
      </c>
      <c r="C404" s="53" t="s">
        <v>8</v>
      </c>
      <c r="E404" s="53" t="s">
        <v>830</v>
      </c>
    </row>
    <row r="405" ht="15.75" customHeight="1">
      <c r="A405" s="52" t="s">
        <v>95</v>
      </c>
      <c r="B405" s="53" t="s">
        <v>831</v>
      </c>
      <c r="C405" s="53" t="s">
        <v>8</v>
      </c>
      <c r="E405" s="53" t="s">
        <v>832</v>
      </c>
    </row>
    <row r="406" ht="15.75" customHeight="1">
      <c r="A406" s="52" t="s">
        <v>95</v>
      </c>
      <c r="B406" s="53" t="s">
        <v>833</v>
      </c>
      <c r="C406" s="53" t="s">
        <v>8</v>
      </c>
      <c r="E406" s="53" t="s">
        <v>834</v>
      </c>
    </row>
    <row r="407" ht="15.75" customHeight="1">
      <c r="A407" s="52" t="s">
        <v>95</v>
      </c>
      <c r="B407" s="53" t="s">
        <v>835</v>
      </c>
      <c r="C407" s="53" t="s">
        <v>8</v>
      </c>
      <c r="E407" s="53" t="s">
        <v>836</v>
      </c>
    </row>
    <row r="408" ht="15.75" customHeight="1">
      <c r="A408" s="52" t="s">
        <v>95</v>
      </c>
      <c r="B408" s="53" t="s">
        <v>837</v>
      </c>
      <c r="C408" s="53" t="s">
        <v>8</v>
      </c>
      <c r="E408" s="53" t="s">
        <v>838</v>
      </c>
    </row>
    <row r="409" ht="15.75" customHeight="1">
      <c r="A409" s="52" t="s">
        <v>95</v>
      </c>
      <c r="B409" s="53" t="s">
        <v>839</v>
      </c>
      <c r="C409" s="53" t="s">
        <v>8</v>
      </c>
      <c r="E409" s="53" t="s">
        <v>840</v>
      </c>
    </row>
    <row r="410" ht="15.75" customHeight="1">
      <c r="A410" s="52" t="s">
        <v>95</v>
      </c>
      <c r="B410" s="53" t="s">
        <v>841</v>
      </c>
      <c r="C410" s="53" t="s">
        <v>8</v>
      </c>
      <c r="E410" s="53" t="s">
        <v>186</v>
      </c>
    </row>
    <row r="411" ht="15.75" customHeight="1">
      <c r="A411" s="52" t="s">
        <v>95</v>
      </c>
      <c r="B411" s="53" t="s">
        <v>842</v>
      </c>
      <c r="C411" s="53" t="s">
        <v>8</v>
      </c>
      <c r="E411" s="53" t="s">
        <v>188</v>
      </c>
    </row>
    <row r="412" ht="15.75" customHeight="1">
      <c r="A412" s="52" t="s">
        <v>96</v>
      </c>
      <c r="B412" s="53" t="s">
        <v>843</v>
      </c>
      <c r="C412" s="53" t="s">
        <v>8</v>
      </c>
      <c r="E412" s="53" t="s">
        <v>844</v>
      </c>
    </row>
    <row r="413" ht="15.75" customHeight="1">
      <c r="A413" s="52" t="s">
        <v>96</v>
      </c>
      <c r="B413" s="53" t="s">
        <v>845</v>
      </c>
      <c r="C413" s="53" t="s">
        <v>8</v>
      </c>
      <c r="E413" s="53" t="s">
        <v>846</v>
      </c>
    </row>
    <row r="414" ht="15.75" customHeight="1">
      <c r="A414" s="52" t="s">
        <v>96</v>
      </c>
      <c r="B414" s="53" t="s">
        <v>847</v>
      </c>
      <c r="C414" s="53" t="s">
        <v>8</v>
      </c>
      <c r="E414" s="53" t="s">
        <v>848</v>
      </c>
    </row>
    <row r="415" ht="15.75" customHeight="1">
      <c r="A415" s="52" t="s">
        <v>96</v>
      </c>
      <c r="B415" s="53" t="s">
        <v>849</v>
      </c>
      <c r="C415" s="53" t="s">
        <v>8</v>
      </c>
      <c r="E415" s="53" t="s">
        <v>850</v>
      </c>
    </row>
    <row r="416" ht="15.75" customHeight="1">
      <c r="A416" s="52" t="s">
        <v>96</v>
      </c>
      <c r="C416" s="53" t="s">
        <v>851</v>
      </c>
      <c r="D416" s="53" t="s">
        <v>850</v>
      </c>
      <c r="E416" s="53" t="s">
        <v>802</v>
      </c>
    </row>
    <row r="417" ht="15.75" customHeight="1">
      <c r="A417" s="52" t="s">
        <v>96</v>
      </c>
      <c r="C417" s="53" t="s">
        <v>852</v>
      </c>
      <c r="D417" s="53" t="s">
        <v>850</v>
      </c>
      <c r="E417" s="53" t="s">
        <v>804</v>
      </c>
    </row>
    <row r="418" ht="15.75" customHeight="1">
      <c r="A418" s="52" t="s">
        <v>96</v>
      </c>
      <c r="C418" s="53" t="s">
        <v>853</v>
      </c>
      <c r="D418" s="53" t="s">
        <v>850</v>
      </c>
      <c r="E418" s="53" t="s">
        <v>806</v>
      </c>
    </row>
    <row r="419" ht="15.75" customHeight="1">
      <c r="A419" s="52" t="s">
        <v>96</v>
      </c>
      <c r="C419" s="53" t="s">
        <v>854</v>
      </c>
      <c r="D419" s="53" t="s">
        <v>850</v>
      </c>
      <c r="E419" s="53" t="s">
        <v>292</v>
      </c>
    </row>
    <row r="420" ht="15.75" customHeight="1">
      <c r="A420" s="52" t="s">
        <v>96</v>
      </c>
      <c r="B420" s="53" t="s">
        <v>855</v>
      </c>
      <c r="C420" s="53" t="s">
        <v>8</v>
      </c>
      <c r="E420" s="53" t="s">
        <v>186</v>
      </c>
    </row>
    <row r="421" ht="15.75" customHeight="1">
      <c r="A421" s="52" t="s">
        <v>96</v>
      </c>
      <c r="B421" s="53" t="s">
        <v>856</v>
      </c>
      <c r="C421" s="53" t="s">
        <v>8</v>
      </c>
      <c r="E421" s="53" t="s">
        <v>188</v>
      </c>
    </row>
    <row r="422" ht="15.75" customHeight="1">
      <c r="A422" s="52" t="s">
        <v>97</v>
      </c>
      <c r="B422" s="53" t="s">
        <v>857</v>
      </c>
      <c r="C422" s="53" t="s">
        <v>8</v>
      </c>
      <c r="E422" s="53" t="s">
        <v>296</v>
      </c>
    </row>
    <row r="423" ht="15.75" customHeight="1">
      <c r="A423" s="52" t="s">
        <v>97</v>
      </c>
      <c r="B423" s="53" t="s">
        <v>858</v>
      </c>
      <c r="C423" s="53" t="s">
        <v>8</v>
      </c>
      <c r="E423" s="53" t="s">
        <v>298</v>
      </c>
    </row>
    <row r="424" ht="15.75" customHeight="1">
      <c r="A424" s="52" t="s">
        <v>97</v>
      </c>
      <c r="B424" s="53" t="s">
        <v>859</v>
      </c>
      <c r="C424" s="53" t="s">
        <v>8</v>
      </c>
      <c r="E424" s="53" t="s">
        <v>188</v>
      </c>
    </row>
    <row r="425" ht="15.75" customHeight="1">
      <c r="A425" s="52" t="s">
        <v>99</v>
      </c>
      <c r="B425" s="53" t="s">
        <v>860</v>
      </c>
      <c r="C425" s="53" t="s">
        <v>8</v>
      </c>
      <c r="E425" s="53" t="s">
        <v>861</v>
      </c>
    </row>
    <row r="426" ht="15.75" customHeight="1">
      <c r="A426" s="52" t="s">
        <v>99</v>
      </c>
      <c r="B426" s="53" t="s">
        <v>862</v>
      </c>
      <c r="C426" s="53" t="s">
        <v>8</v>
      </c>
      <c r="E426" s="53" t="s">
        <v>863</v>
      </c>
    </row>
    <row r="427" ht="15.75" customHeight="1">
      <c r="A427" s="52" t="s">
        <v>99</v>
      </c>
      <c r="B427" s="53" t="s">
        <v>864</v>
      </c>
      <c r="C427" s="53" t="s">
        <v>8</v>
      </c>
      <c r="E427" s="53" t="s">
        <v>865</v>
      </c>
    </row>
    <row r="428" ht="15.75" customHeight="1">
      <c r="A428" s="52" t="s">
        <v>99</v>
      </c>
      <c r="C428" s="53" t="s">
        <v>866</v>
      </c>
      <c r="D428" s="53" t="s">
        <v>865</v>
      </c>
      <c r="E428" s="53" t="s">
        <v>867</v>
      </c>
    </row>
    <row r="429" ht="15.75" customHeight="1">
      <c r="A429" s="52" t="s">
        <v>99</v>
      </c>
      <c r="C429" s="53" t="s">
        <v>868</v>
      </c>
      <c r="D429" s="53" t="s">
        <v>865</v>
      </c>
      <c r="E429" s="53" t="s">
        <v>869</v>
      </c>
    </row>
    <row r="430" ht="15.75" customHeight="1">
      <c r="A430" s="52" t="s">
        <v>99</v>
      </c>
      <c r="C430" s="53" t="s">
        <v>870</v>
      </c>
      <c r="D430" s="53" t="s">
        <v>865</v>
      </c>
      <c r="E430" s="53" t="s">
        <v>292</v>
      </c>
    </row>
    <row r="431" ht="15.75" customHeight="1">
      <c r="A431" s="52" t="s">
        <v>99</v>
      </c>
      <c r="B431" s="53" t="s">
        <v>871</v>
      </c>
      <c r="C431" s="53" t="s">
        <v>8</v>
      </c>
      <c r="E431" s="53" t="s">
        <v>292</v>
      </c>
    </row>
    <row r="432" ht="15.75" customHeight="1">
      <c r="A432" s="52" t="s">
        <v>99</v>
      </c>
      <c r="B432" s="53" t="s">
        <v>872</v>
      </c>
      <c r="C432" s="53" t="s">
        <v>8</v>
      </c>
      <c r="E432" s="53" t="s">
        <v>186</v>
      </c>
    </row>
    <row r="433" ht="15.75" customHeight="1">
      <c r="A433" s="52" t="s">
        <v>99</v>
      </c>
      <c r="B433" s="53" t="s">
        <v>873</v>
      </c>
      <c r="C433" s="53" t="s">
        <v>8</v>
      </c>
      <c r="E433" s="53" t="s">
        <v>188</v>
      </c>
    </row>
    <row r="434" ht="15.75" customHeight="1">
      <c r="A434" s="52" t="s">
        <v>100</v>
      </c>
      <c r="B434" s="53" t="s">
        <v>874</v>
      </c>
      <c r="C434" s="53" t="s">
        <v>8</v>
      </c>
      <c r="E434" s="53" t="s">
        <v>875</v>
      </c>
    </row>
    <row r="435" ht="15.75" customHeight="1">
      <c r="A435" s="52" t="s">
        <v>100</v>
      </c>
      <c r="C435" s="53" t="s">
        <v>876</v>
      </c>
      <c r="D435" s="53" t="s">
        <v>875</v>
      </c>
      <c r="E435" s="53" t="s">
        <v>877</v>
      </c>
    </row>
    <row r="436" ht="15.75" customHeight="1">
      <c r="A436" s="52" t="s">
        <v>100</v>
      </c>
      <c r="C436" s="53" t="s">
        <v>878</v>
      </c>
      <c r="D436" s="53" t="s">
        <v>875</v>
      </c>
      <c r="E436" s="53" t="s">
        <v>406</v>
      </c>
    </row>
    <row r="437" ht="15.75" customHeight="1">
      <c r="A437" s="52" t="s">
        <v>100</v>
      </c>
      <c r="B437" s="53" t="s">
        <v>879</v>
      </c>
      <c r="C437" s="53" t="s">
        <v>8</v>
      </c>
      <c r="E437" s="53" t="s">
        <v>880</v>
      </c>
    </row>
    <row r="438" ht="15.75" customHeight="1">
      <c r="A438" s="52" t="s">
        <v>100</v>
      </c>
      <c r="C438" s="53" t="s">
        <v>881</v>
      </c>
      <c r="D438" s="53" t="s">
        <v>880</v>
      </c>
      <c r="E438" s="53" t="s">
        <v>882</v>
      </c>
    </row>
    <row r="439" ht="15.75" customHeight="1">
      <c r="A439" s="52" t="s">
        <v>100</v>
      </c>
      <c r="C439" s="53" t="s">
        <v>883</v>
      </c>
      <c r="D439" s="53" t="s">
        <v>880</v>
      </c>
      <c r="E439" s="53" t="s">
        <v>884</v>
      </c>
    </row>
    <row r="440" ht="15.75" customHeight="1">
      <c r="A440" s="52" t="s">
        <v>100</v>
      </c>
      <c r="C440" s="53" t="s">
        <v>885</v>
      </c>
      <c r="D440" s="53" t="s">
        <v>880</v>
      </c>
      <c r="E440" s="53" t="s">
        <v>292</v>
      </c>
    </row>
    <row r="441" ht="15.75" customHeight="1">
      <c r="A441" s="52" t="s">
        <v>100</v>
      </c>
      <c r="B441" s="53" t="s">
        <v>886</v>
      </c>
      <c r="C441" s="53" t="s">
        <v>8</v>
      </c>
      <c r="E441" s="53" t="s">
        <v>887</v>
      </c>
    </row>
    <row r="442" ht="15.75" customHeight="1">
      <c r="A442" s="52" t="s">
        <v>100</v>
      </c>
      <c r="C442" s="53" t="s">
        <v>888</v>
      </c>
      <c r="D442" s="53" t="s">
        <v>887</v>
      </c>
      <c r="E442" s="53" t="s">
        <v>406</v>
      </c>
    </row>
    <row r="443" ht="15.75" customHeight="1">
      <c r="A443" s="52" t="s">
        <v>100</v>
      </c>
      <c r="C443" s="53" t="s">
        <v>889</v>
      </c>
      <c r="D443" s="53" t="s">
        <v>887</v>
      </c>
      <c r="E443" s="53" t="s">
        <v>358</v>
      </c>
    </row>
    <row r="444" ht="15.75" customHeight="1">
      <c r="A444" s="52" t="s">
        <v>100</v>
      </c>
      <c r="B444" s="53" t="s">
        <v>890</v>
      </c>
      <c r="C444" s="53" t="s">
        <v>8</v>
      </c>
      <c r="E444" s="53" t="s">
        <v>186</v>
      </c>
    </row>
    <row r="445" ht="15.75" customHeight="1">
      <c r="A445" s="52" t="s">
        <v>100</v>
      </c>
      <c r="B445" s="53" t="s">
        <v>891</v>
      </c>
      <c r="C445" s="53" t="s">
        <v>8</v>
      </c>
      <c r="E445" s="53" t="s">
        <v>188</v>
      </c>
    </row>
    <row r="446" ht="15.75" customHeight="1">
      <c r="A446" s="52" t="s">
        <v>101</v>
      </c>
      <c r="B446" s="53" t="s">
        <v>892</v>
      </c>
      <c r="C446" s="53" t="s">
        <v>8</v>
      </c>
      <c r="E446" s="53" t="s">
        <v>893</v>
      </c>
    </row>
    <row r="447" ht="15.75" customHeight="1">
      <c r="A447" s="52" t="s">
        <v>101</v>
      </c>
      <c r="C447" s="53" t="s">
        <v>894</v>
      </c>
      <c r="D447" s="53" t="s">
        <v>893</v>
      </c>
      <c r="E447" s="53" t="s">
        <v>895</v>
      </c>
    </row>
    <row r="448" ht="15.75" customHeight="1">
      <c r="A448" s="52" t="s">
        <v>101</v>
      </c>
      <c r="C448" s="53" t="s">
        <v>896</v>
      </c>
      <c r="D448" s="53" t="s">
        <v>893</v>
      </c>
      <c r="E448" s="53" t="s">
        <v>897</v>
      </c>
    </row>
    <row r="449" ht="15.75" customHeight="1">
      <c r="A449" s="52" t="s">
        <v>101</v>
      </c>
      <c r="C449" s="53" t="s">
        <v>898</v>
      </c>
      <c r="D449" s="53" t="s">
        <v>893</v>
      </c>
      <c r="E449" s="53" t="s">
        <v>292</v>
      </c>
    </row>
    <row r="450" ht="15.75" customHeight="1">
      <c r="A450" s="52" t="s">
        <v>101</v>
      </c>
      <c r="B450" s="53" t="s">
        <v>899</v>
      </c>
      <c r="C450" s="53" t="s">
        <v>8</v>
      </c>
      <c r="E450" s="53" t="s">
        <v>900</v>
      </c>
    </row>
    <row r="451" ht="15.75" customHeight="1">
      <c r="A451" s="52" t="s">
        <v>101</v>
      </c>
      <c r="B451" s="53" t="s">
        <v>901</v>
      </c>
      <c r="C451" s="53" t="s">
        <v>8</v>
      </c>
      <c r="E451" s="53" t="s">
        <v>902</v>
      </c>
    </row>
    <row r="452" ht="15.75" customHeight="1">
      <c r="A452" s="52" t="s">
        <v>101</v>
      </c>
      <c r="B452" s="53" t="s">
        <v>903</v>
      </c>
      <c r="C452" s="53" t="s">
        <v>8</v>
      </c>
      <c r="E452" s="53" t="s">
        <v>186</v>
      </c>
    </row>
    <row r="453" ht="15.75" customHeight="1">
      <c r="A453" s="52" t="s">
        <v>101</v>
      </c>
      <c r="B453" s="53" t="s">
        <v>904</v>
      </c>
      <c r="C453" s="53" t="s">
        <v>8</v>
      </c>
      <c r="E453" s="53" t="s">
        <v>188</v>
      </c>
    </row>
    <row r="454" ht="15.75" customHeight="1">
      <c r="A454" s="52" t="s">
        <v>102</v>
      </c>
      <c r="B454" s="53" t="s">
        <v>905</v>
      </c>
      <c r="C454" s="53" t="s">
        <v>8</v>
      </c>
      <c r="E454" s="53" t="s">
        <v>906</v>
      </c>
    </row>
    <row r="455" ht="15.75" customHeight="1">
      <c r="A455" s="52" t="s">
        <v>102</v>
      </c>
      <c r="C455" s="53" t="s">
        <v>907</v>
      </c>
      <c r="D455" s="53" t="s">
        <v>908</v>
      </c>
      <c r="E455" s="53" t="s">
        <v>909</v>
      </c>
    </row>
    <row r="456" ht="15.75" customHeight="1">
      <c r="A456" s="52" t="s">
        <v>102</v>
      </c>
      <c r="C456" s="53" t="s">
        <v>910</v>
      </c>
      <c r="D456" s="53" t="s">
        <v>911</v>
      </c>
      <c r="E456" s="53" t="s">
        <v>912</v>
      </c>
    </row>
    <row r="457" ht="15.75" customHeight="1">
      <c r="A457" s="52" t="s">
        <v>102</v>
      </c>
      <c r="C457" s="53" t="s">
        <v>913</v>
      </c>
      <c r="D457" s="53" t="s">
        <v>914</v>
      </c>
      <c r="E457" s="53" t="s">
        <v>358</v>
      </c>
    </row>
    <row r="458" ht="15.75" customHeight="1">
      <c r="A458" s="52" t="s">
        <v>102</v>
      </c>
      <c r="B458" s="53" t="s">
        <v>915</v>
      </c>
      <c r="C458" s="53" t="s">
        <v>8</v>
      </c>
      <c r="E458" s="53" t="s">
        <v>916</v>
      </c>
    </row>
    <row r="459" ht="15.75" customHeight="1">
      <c r="A459" s="52" t="s">
        <v>102</v>
      </c>
      <c r="C459" s="53" t="s">
        <v>917</v>
      </c>
      <c r="D459" s="53" t="s">
        <v>916</v>
      </c>
      <c r="E459" s="53" t="s">
        <v>909</v>
      </c>
    </row>
    <row r="460" ht="15.75" customHeight="1">
      <c r="A460" s="52" t="s">
        <v>102</v>
      </c>
      <c r="C460" s="53" t="s">
        <v>918</v>
      </c>
      <c r="D460" s="53" t="s">
        <v>916</v>
      </c>
      <c r="E460" s="53" t="s">
        <v>912</v>
      </c>
    </row>
    <row r="461" ht="15.75" customHeight="1">
      <c r="A461" s="52" t="s">
        <v>102</v>
      </c>
      <c r="C461" s="53" t="s">
        <v>919</v>
      </c>
      <c r="D461" s="53" t="s">
        <v>916</v>
      </c>
      <c r="E461" s="53" t="s">
        <v>358</v>
      </c>
    </row>
    <row r="462" ht="15.75" customHeight="1">
      <c r="A462" s="52" t="s">
        <v>102</v>
      </c>
      <c r="B462" s="53" t="s">
        <v>920</v>
      </c>
      <c r="C462" s="53" t="s">
        <v>8</v>
      </c>
      <c r="E462" s="53" t="s">
        <v>921</v>
      </c>
    </row>
    <row r="463" ht="15.75" customHeight="1">
      <c r="A463" s="52" t="s">
        <v>102</v>
      </c>
      <c r="C463" s="53" t="s">
        <v>922</v>
      </c>
      <c r="D463" s="53" t="s">
        <v>921</v>
      </c>
      <c r="E463" s="53" t="s">
        <v>909</v>
      </c>
    </row>
    <row r="464" ht="15.75" customHeight="1">
      <c r="A464" s="52" t="s">
        <v>102</v>
      </c>
      <c r="C464" s="53" t="s">
        <v>923</v>
      </c>
      <c r="D464" s="53" t="s">
        <v>921</v>
      </c>
      <c r="E464" s="53" t="s">
        <v>912</v>
      </c>
    </row>
    <row r="465" ht="15.75" customHeight="1">
      <c r="A465" s="52" t="s">
        <v>102</v>
      </c>
      <c r="C465" s="53" t="s">
        <v>924</v>
      </c>
      <c r="D465" s="53" t="s">
        <v>921</v>
      </c>
      <c r="E465" s="53" t="s">
        <v>358</v>
      </c>
    </row>
    <row r="466" ht="15.75" customHeight="1">
      <c r="A466" s="52" t="s">
        <v>102</v>
      </c>
      <c r="C466" s="53" t="s">
        <v>925</v>
      </c>
      <c r="D466" s="53" t="s">
        <v>921</v>
      </c>
      <c r="E466" s="52" t="s">
        <v>926</v>
      </c>
    </row>
    <row r="467" ht="15.75" customHeight="1">
      <c r="A467" s="52" t="s">
        <v>102</v>
      </c>
      <c r="C467" s="53" t="s">
        <v>927</v>
      </c>
      <c r="D467" s="53" t="s">
        <v>921</v>
      </c>
      <c r="E467" s="52" t="s">
        <v>928</v>
      </c>
    </row>
    <row r="468" ht="15.75" customHeight="1">
      <c r="A468" s="52" t="s">
        <v>102</v>
      </c>
      <c r="B468" s="53" t="s">
        <v>929</v>
      </c>
      <c r="C468" s="53" t="s">
        <v>8</v>
      </c>
      <c r="E468" s="53" t="s">
        <v>930</v>
      </c>
    </row>
    <row r="469" ht="15.75" customHeight="1">
      <c r="A469" s="52" t="s">
        <v>102</v>
      </c>
      <c r="C469" s="53" t="s">
        <v>931</v>
      </c>
      <c r="D469" s="53" t="s">
        <v>930</v>
      </c>
      <c r="E469" s="53" t="s">
        <v>909</v>
      </c>
    </row>
    <row r="470" ht="15.75" customHeight="1">
      <c r="A470" s="52" t="s">
        <v>102</v>
      </c>
      <c r="C470" s="53" t="s">
        <v>932</v>
      </c>
      <c r="D470" s="53" t="s">
        <v>930</v>
      </c>
      <c r="E470" s="53" t="s">
        <v>912</v>
      </c>
    </row>
    <row r="471" ht="15.75" customHeight="1">
      <c r="A471" s="52" t="s">
        <v>102</v>
      </c>
      <c r="C471" s="53" t="s">
        <v>933</v>
      </c>
      <c r="D471" s="53" t="s">
        <v>930</v>
      </c>
      <c r="E471" s="53" t="s">
        <v>358</v>
      </c>
    </row>
    <row r="472" ht="15.75" customHeight="1">
      <c r="A472" s="52" t="s">
        <v>102</v>
      </c>
      <c r="B472" s="53" t="s">
        <v>934</v>
      </c>
      <c r="C472" s="53" t="s">
        <v>8</v>
      </c>
      <c r="E472" s="53" t="s">
        <v>292</v>
      </c>
    </row>
    <row r="473" ht="15.75" customHeight="1">
      <c r="A473" s="52" t="s">
        <v>102</v>
      </c>
      <c r="B473" s="53" t="s">
        <v>935</v>
      </c>
      <c r="C473" s="53" t="s">
        <v>8</v>
      </c>
      <c r="E473" s="53" t="s">
        <v>186</v>
      </c>
    </row>
    <row r="474" ht="15.75" customHeight="1">
      <c r="A474" s="52" t="s">
        <v>102</v>
      </c>
      <c r="B474" s="53" t="s">
        <v>936</v>
      </c>
      <c r="C474" s="53" t="s">
        <v>8</v>
      </c>
      <c r="E474" s="53" t="s">
        <v>188</v>
      </c>
    </row>
    <row r="475" ht="15.75" customHeight="1">
      <c r="A475" s="52" t="s">
        <v>103</v>
      </c>
      <c r="B475" s="53" t="s">
        <v>937</v>
      </c>
      <c r="C475" s="53" t="s">
        <v>8</v>
      </c>
      <c r="E475" s="53" t="s">
        <v>938</v>
      </c>
    </row>
    <row r="476" ht="15.75" customHeight="1">
      <c r="A476" s="52" t="s">
        <v>103</v>
      </c>
      <c r="B476" s="53" t="s">
        <v>939</v>
      </c>
      <c r="C476" s="53" t="s">
        <v>8</v>
      </c>
      <c r="E476" s="53" t="s">
        <v>940</v>
      </c>
    </row>
    <row r="477" ht="15.75" customHeight="1">
      <c r="A477" s="52" t="s">
        <v>103</v>
      </c>
      <c r="B477" s="53" t="s">
        <v>941</v>
      </c>
      <c r="C477" s="53" t="s">
        <v>8</v>
      </c>
      <c r="E477" s="53" t="s">
        <v>942</v>
      </c>
    </row>
    <row r="478" ht="15.75" customHeight="1">
      <c r="A478" s="52" t="s">
        <v>103</v>
      </c>
      <c r="B478" s="53" t="s">
        <v>943</v>
      </c>
      <c r="C478" s="53" t="s">
        <v>8</v>
      </c>
      <c r="E478" s="53" t="s">
        <v>944</v>
      </c>
    </row>
    <row r="479" ht="15.75" customHeight="1">
      <c r="A479" s="52" t="s">
        <v>103</v>
      </c>
      <c r="B479" s="53" t="s">
        <v>945</v>
      </c>
      <c r="C479" s="53" t="s">
        <v>8</v>
      </c>
      <c r="E479" s="53" t="s">
        <v>292</v>
      </c>
    </row>
    <row r="480" ht="15.75" customHeight="1">
      <c r="A480" s="52" t="s">
        <v>103</v>
      </c>
      <c r="B480" s="53" t="s">
        <v>946</v>
      </c>
      <c r="C480" s="53" t="s">
        <v>8</v>
      </c>
      <c r="E480" s="53" t="s">
        <v>186</v>
      </c>
    </row>
    <row r="481" ht="15.75" customHeight="1">
      <c r="A481" s="52" t="s">
        <v>103</v>
      </c>
      <c r="B481" s="53" t="s">
        <v>947</v>
      </c>
      <c r="C481" s="53" t="s">
        <v>8</v>
      </c>
      <c r="E481" s="53" t="s">
        <v>188</v>
      </c>
    </row>
    <row r="482" ht="15.75" customHeight="1">
      <c r="A482" s="52" t="s">
        <v>104</v>
      </c>
      <c r="B482" s="53" t="s">
        <v>948</v>
      </c>
      <c r="C482" s="53" t="s">
        <v>8</v>
      </c>
      <c r="E482" s="53" t="s">
        <v>949</v>
      </c>
    </row>
    <row r="483" ht="15.75" customHeight="1">
      <c r="A483" s="52" t="s">
        <v>104</v>
      </c>
      <c r="B483" s="53" t="s">
        <v>950</v>
      </c>
      <c r="C483" s="53" t="s">
        <v>8</v>
      </c>
      <c r="E483" s="53" t="s">
        <v>951</v>
      </c>
    </row>
    <row r="484" ht="15.75" customHeight="1">
      <c r="A484" s="52" t="s">
        <v>104</v>
      </c>
      <c r="B484" s="53" t="s">
        <v>952</v>
      </c>
      <c r="C484" s="53" t="s">
        <v>8</v>
      </c>
      <c r="E484" s="53" t="s">
        <v>953</v>
      </c>
    </row>
    <row r="485" ht="15.75" customHeight="1">
      <c r="A485" s="52" t="s">
        <v>104</v>
      </c>
      <c r="B485" s="53" t="s">
        <v>954</v>
      </c>
      <c r="C485" s="53" t="s">
        <v>8</v>
      </c>
      <c r="E485" s="53" t="s">
        <v>292</v>
      </c>
    </row>
    <row r="486" ht="15.75" customHeight="1">
      <c r="A486" s="52" t="s">
        <v>104</v>
      </c>
      <c r="B486" s="53" t="s">
        <v>955</v>
      </c>
      <c r="C486" s="53" t="s">
        <v>8</v>
      </c>
      <c r="E486" s="53" t="s">
        <v>186</v>
      </c>
    </row>
    <row r="487" ht="15.75" customHeight="1">
      <c r="A487" s="52" t="s">
        <v>104</v>
      </c>
      <c r="B487" s="53" t="s">
        <v>956</v>
      </c>
      <c r="C487" s="53" t="s">
        <v>8</v>
      </c>
      <c r="E487" s="53" t="s">
        <v>188</v>
      </c>
    </row>
    <row r="488" ht="15.75" customHeight="1">
      <c r="A488" s="52" t="s">
        <v>105</v>
      </c>
      <c r="B488" s="53" t="s">
        <v>957</v>
      </c>
      <c r="C488" s="53" t="s">
        <v>8</v>
      </c>
      <c r="E488" s="53" t="s">
        <v>498</v>
      </c>
    </row>
    <row r="489" ht="15.75" customHeight="1">
      <c r="A489" s="52" t="s">
        <v>105</v>
      </c>
      <c r="B489" s="53" t="s">
        <v>958</v>
      </c>
      <c r="C489" s="53" t="s">
        <v>8</v>
      </c>
      <c r="E489" s="53" t="s">
        <v>959</v>
      </c>
    </row>
    <row r="490" ht="15.75" customHeight="1">
      <c r="A490" s="52" t="s">
        <v>105</v>
      </c>
      <c r="B490" s="53" t="s">
        <v>960</v>
      </c>
      <c r="C490" s="53" t="s">
        <v>8</v>
      </c>
      <c r="E490" s="53" t="s">
        <v>292</v>
      </c>
    </row>
    <row r="491" ht="15.75" customHeight="1">
      <c r="A491" s="52" t="s">
        <v>105</v>
      </c>
      <c r="B491" s="53" t="s">
        <v>961</v>
      </c>
      <c r="C491" s="53" t="s">
        <v>8</v>
      </c>
      <c r="E491" s="53" t="s">
        <v>186</v>
      </c>
    </row>
    <row r="492" ht="15.75" customHeight="1">
      <c r="A492" s="52" t="s">
        <v>105</v>
      </c>
      <c r="B492" s="53" t="s">
        <v>962</v>
      </c>
      <c r="C492" s="53" t="s">
        <v>8</v>
      </c>
      <c r="E492" s="53" t="s">
        <v>188</v>
      </c>
    </row>
    <row r="493" ht="15.75" customHeight="1">
      <c r="A493" s="52" t="s">
        <v>107</v>
      </c>
      <c r="B493" s="53" t="s">
        <v>963</v>
      </c>
      <c r="C493" s="53" t="s">
        <v>8</v>
      </c>
      <c r="E493" s="53" t="s">
        <v>964</v>
      </c>
    </row>
    <row r="494" ht="15.75" customHeight="1">
      <c r="A494" s="52" t="s">
        <v>107</v>
      </c>
      <c r="B494" s="53" t="s">
        <v>965</v>
      </c>
      <c r="C494" s="53" t="s">
        <v>8</v>
      </c>
      <c r="E494" s="53" t="s">
        <v>966</v>
      </c>
    </row>
    <row r="495" ht="15.75" customHeight="1">
      <c r="A495" s="52" t="s">
        <v>107</v>
      </c>
      <c r="B495" s="53" t="s">
        <v>967</v>
      </c>
      <c r="C495" s="53" t="s">
        <v>8</v>
      </c>
      <c r="E495" s="53" t="s">
        <v>968</v>
      </c>
    </row>
    <row r="496" ht="15.75" customHeight="1">
      <c r="A496" s="52" t="s">
        <v>107</v>
      </c>
      <c r="B496" s="53" t="s">
        <v>969</v>
      </c>
      <c r="C496" s="53" t="s">
        <v>8</v>
      </c>
      <c r="E496" s="53" t="s">
        <v>970</v>
      </c>
    </row>
    <row r="497" ht="15.75" customHeight="1">
      <c r="A497" s="52" t="s">
        <v>107</v>
      </c>
      <c r="B497" s="53" t="s">
        <v>971</v>
      </c>
      <c r="C497" s="53" t="s">
        <v>8</v>
      </c>
      <c r="E497" s="53" t="s">
        <v>972</v>
      </c>
    </row>
    <row r="498" ht="15.75" customHeight="1">
      <c r="A498" s="52" t="s">
        <v>107</v>
      </c>
      <c r="B498" s="53" t="s">
        <v>973</v>
      </c>
      <c r="C498" s="53" t="s">
        <v>8</v>
      </c>
      <c r="E498" s="53" t="s">
        <v>974</v>
      </c>
    </row>
    <row r="499" ht="15.75" customHeight="1">
      <c r="A499" s="52" t="s">
        <v>107</v>
      </c>
      <c r="B499" s="53" t="s">
        <v>975</v>
      </c>
      <c r="C499" s="53" t="s">
        <v>8</v>
      </c>
      <c r="E499" s="53" t="s">
        <v>976</v>
      </c>
    </row>
    <row r="500" ht="15.75" customHeight="1">
      <c r="A500" s="52" t="s">
        <v>107</v>
      </c>
      <c r="B500" s="53" t="s">
        <v>977</v>
      </c>
      <c r="C500" s="53" t="s">
        <v>8</v>
      </c>
      <c r="E500" s="53" t="s">
        <v>186</v>
      </c>
    </row>
    <row r="501" ht="15.75" customHeight="1">
      <c r="A501" s="52" t="s">
        <v>107</v>
      </c>
      <c r="B501" s="53" t="s">
        <v>978</v>
      </c>
      <c r="C501" s="53" t="s">
        <v>8</v>
      </c>
      <c r="E501" s="53" t="s">
        <v>188</v>
      </c>
    </row>
    <row r="502" ht="15.75" customHeight="1">
      <c r="A502" s="52" t="s">
        <v>109</v>
      </c>
      <c r="B502" s="53" t="s">
        <v>979</v>
      </c>
      <c r="C502" s="53" t="s">
        <v>8</v>
      </c>
      <c r="E502" s="53" t="s">
        <v>980</v>
      </c>
    </row>
    <row r="503" ht="15.75" customHeight="1">
      <c r="A503" s="52" t="s">
        <v>109</v>
      </c>
      <c r="B503" s="53" t="s">
        <v>981</v>
      </c>
      <c r="C503" s="53" t="s">
        <v>8</v>
      </c>
      <c r="E503" s="53" t="s">
        <v>982</v>
      </c>
    </row>
    <row r="504" ht="15.75" customHeight="1">
      <c r="A504" s="52" t="s">
        <v>109</v>
      </c>
      <c r="C504" s="53" t="s">
        <v>983</v>
      </c>
      <c r="D504" s="53" t="s">
        <v>982</v>
      </c>
      <c r="E504" s="53" t="s">
        <v>984</v>
      </c>
    </row>
    <row r="505" ht="15.75" customHeight="1">
      <c r="A505" s="52" t="s">
        <v>109</v>
      </c>
      <c r="C505" s="53" t="s">
        <v>985</v>
      </c>
      <c r="D505" s="53" t="s">
        <v>982</v>
      </c>
      <c r="E505" s="53" t="s">
        <v>986</v>
      </c>
    </row>
    <row r="506" ht="15.75" customHeight="1">
      <c r="A506" s="52" t="s">
        <v>109</v>
      </c>
      <c r="C506" s="53" t="s">
        <v>987</v>
      </c>
      <c r="D506" s="53" t="s">
        <v>982</v>
      </c>
      <c r="E506" s="53" t="s">
        <v>988</v>
      </c>
    </row>
    <row r="507" ht="15.75" customHeight="1">
      <c r="A507" s="52" t="s">
        <v>109</v>
      </c>
      <c r="C507" s="53" t="s">
        <v>989</v>
      </c>
      <c r="D507" s="53" t="s">
        <v>982</v>
      </c>
      <c r="E507" s="53" t="s">
        <v>990</v>
      </c>
    </row>
    <row r="508" ht="15.75" customHeight="1">
      <c r="A508" s="52" t="s">
        <v>109</v>
      </c>
      <c r="C508" s="53" t="s">
        <v>991</v>
      </c>
      <c r="D508" s="53" t="s">
        <v>982</v>
      </c>
      <c r="E508" s="53" t="s">
        <v>292</v>
      </c>
    </row>
    <row r="509" ht="15.75" customHeight="1">
      <c r="A509" s="52" t="s">
        <v>109</v>
      </c>
      <c r="B509" s="53" t="s">
        <v>992</v>
      </c>
      <c r="C509" s="53" t="s">
        <v>8</v>
      </c>
      <c r="E509" s="53" t="s">
        <v>993</v>
      </c>
    </row>
    <row r="510" ht="15.75" customHeight="1">
      <c r="A510" s="52" t="s">
        <v>109</v>
      </c>
      <c r="B510" s="53" t="s">
        <v>994</v>
      </c>
      <c r="C510" s="53" t="s">
        <v>8</v>
      </c>
      <c r="E510" s="53" t="s">
        <v>995</v>
      </c>
    </row>
    <row r="511" ht="15.75" customHeight="1">
      <c r="A511" s="52" t="s">
        <v>109</v>
      </c>
      <c r="C511" s="53" t="s">
        <v>996</v>
      </c>
      <c r="D511" s="53" t="s">
        <v>997</v>
      </c>
      <c r="E511" s="53" t="s">
        <v>998</v>
      </c>
    </row>
    <row r="512" ht="15.75" customHeight="1">
      <c r="A512" s="52" t="s">
        <v>109</v>
      </c>
      <c r="C512" s="53" t="s">
        <v>999</v>
      </c>
      <c r="D512" s="53" t="s">
        <v>1000</v>
      </c>
      <c r="E512" s="53" t="s">
        <v>1001</v>
      </c>
    </row>
    <row r="513" ht="15.75" customHeight="1">
      <c r="A513" s="52" t="s">
        <v>109</v>
      </c>
      <c r="B513" s="53" t="s">
        <v>1002</v>
      </c>
      <c r="C513" s="53" t="s">
        <v>8</v>
      </c>
      <c r="E513" s="53" t="s">
        <v>292</v>
      </c>
    </row>
    <row r="514" ht="15.75" customHeight="1">
      <c r="A514" s="52" t="s">
        <v>109</v>
      </c>
      <c r="B514" s="53" t="s">
        <v>1003</v>
      </c>
      <c r="C514" s="53" t="s">
        <v>8</v>
      </c>
      <c r="E514" s="53" t="s">
        <v>186</v>
      </c>
    </row>
    <row r="515" ht="15.75" customHeight="1">
      <c r="A515" s="52" t="s">
        <v>109</v>
      </c>
      <c r="B515" s="53" t="s">
        <v>1004</v>
      </c>
      <c r="C515" s="53" t="s">
        <v>8</v>
      </c>
      <c r="E515" s="53" t="s">
        <v>188</v>
      </c>
    </row>
    <row r="516" ht="15.75" customHeight="1">
      <c r="A516" s="52" t="s">
        <v>110</v>
      </c>
      <c r="B516" s="53" t="s">
        <v>1005</v>
      </c>
      <c r="C516" s="53" t="s">
        <v>8</v>
      </c>
      <c r="E516" s="53" t="s">
        <v>1006</v>
      </c>
    </row>
    <row r="517" ht="15.75" customHeight="1">
      <c r="A517" s="52" t="s">
        <v>110</v>
      </c>
      <c r="B517" s="53" t="s">
        <v>1007</v>
      </c>
      <c r="C517" s="53" t="s">
        <v>8</v>
      </c>
      <c r="E517" s="53" t="s">
        <v>1008</v>
      </c>
    </row>
    <row r="518" ht="15.75" customHeight="1">
      <c r="A518" s="52" t="s">
        <v>110</v>
      </c>
      <c r="B518" s="53" t="s">
        <v>1009</v>
      </c>
      <c r="C518" s="53" t="s">
        <v>8</v>
      </c>
      <c r="E518" s="53" t="s">
        <v>186</v>
      </c>
    </row>
    <row r="519" ht="15.75" customHeight="1">
      <c r="A519" s="52" t="s">
        <v>110</v>
      </c>
      <c r="B519" s="53" t="s">
        <v>1010</v>
      </c>
      <c r="C519" s="53" t="s">
        <v>8</v>
      </c>
      <c r="E519" s="53" t="s">
        <v>188</v>
      </c>
    </row>
    <row r="520" ht="15.75" customHeight="1">
      <c r="A520" s="52" t="s">
        <v>111</v>
      </c>
      <c r="B520" s="53" t="s">
        <v>1011</v>
      </c>
      <c r="C520" s="53" t="s">
        <v>8</v>
      </c>
      <c r="E520" s="53" t="s">
        <v>296</v>
      </c>
    </row>
    <row r="521" ht="15.75" customHeight="1">
      <c r="A521" s="52" t="s">
        <v>111</v>
      </c>
      <c r="B521" s="53" t="s">
        <v>1012</v>
      </c>
      <c r="C521" s="53" t="s">
        <v>8</v>
      </c>
      <c r="E521" s="53" t="s">
        <v>298</v>
      </c>
    </row>
    <row r="522" ht="15.75" customHeight="1">
      <c r="A522" s="52" t="s">
        <v>111</v>
      </c>
      <c r="B522" s="53" t="s">
        <v>1013</v>
      </c>
      <c r="C522" s="53" t="s">
        <v>8</v>
      </c>
      <c r="E522" s="53" t="s">
        <v>188</v>
      </c>
    </row>
    <row r="523" ht="15.75" customHeight="1">
      <c r="A523" s="52" t="s">
        <v>112</v>
      </c>
      <c r="B523" s="53" t="s">
        <v>1014</v>
      </c>
      <c r="C523" s="53" t="s">
        <v>8</v>
      </c>
      <c r="E523" s="52" t="s">
        <v>1015</v>
      </c>
    </row>
    <row r="524" ht="15.75" customHeight="1">
      <c r="A524" s="52" t="s">
        <v>112</v>
      </c>
      <c r="B524" s="53" t="s">
        <v>1016</v>
      </c>
      <c r="C524" s="53" t="s">
        <v>8</v>
      </c>
      <c r="E524" s="52" t="s">
        <v>1017</v>
      </c>
    </row>
    <row r="525" ht="15.75" customHeight="1">
      <c r="A525" s="52" t="s">
        <v>112</v>
      </c>
      <c r="B525" s="53" t="s">
        <v>1018</v>
      </c>
      <c r="C525" s="53" t="s">
        <v>8</v>
      </c>
      <c r="E525" s="52" t="s">
        <v>1019</v>
      </c>
    </row>
    <row r="526" ht="15.75" customHeight="1">
      <c r="A526" s="52" t="s">
        <v>112</v>
      </c>
      <c r="B526" s="53" t="s">
        <v>1020</v>
      </c>
      <c r="C526" s="53" t="s">
        <v>8</v>
      </c>
      <c r="E526" s="53" t="s">
        <v>186</v>
      </c>
    </row>
    <row r="527" ht="15.75" customHeight="1">
      <c r="A527" s="52" t="s">
        <v>112</v>
      </c>
      <c r="B527" s="53" t="s">
        <v>1021</v>
      </c>
      <c r="C527" s="53" t="s">
        <v>8</v>
      </c>
      <c r="E527" s="53" t="s">
        <v>188</v>
      </c>
    </row>
    <row r="528" ht="15.75" customHeight="1">
      <c r="A528" s="52" t="s">
        <v>113</v>
      </c>
      <c r="B528" s="53" t="s">
        <v>1022</v>
      </c>
      <c r="C528" s="53" t="s">
        <v>8</v>
      </c>
      <c r="E528" s="53" t="s">
        <v>1023</v>
      </c>
    </row>
    <row r="529" ht="15.75" customHeight="1">
      <c r="A529" s="52" t="s">
        <v>113</v>
      </c>
      <c r="B529" s="53" t="s">
        <v>1024</v>
      </c>
      <c r="C529" s="53" t="s">
        <v>8</v>
      </c>
      <c r="E529" s="53" t="s">
        <v>1025</v>
      </c>
    </row>
    <row r="530" ht="15.75" customHeight="1">
      <c r="A530" s="52" t="s">
        <v>113</v>
      </c>
      <c r="B530" s="53" t="s">
        <v>1026</v>
      </c>
      <c r="C530" s="53" t="s">
        <v>8</v>
      </c>
      <c r="E530" s="53" t="s">
        <v>1027</v>
      </c>
    </row>
    <row r="531" ht="15.75" customHeight="1">
      <c r="A531" s="52" t="s">
        <v>113</v>
      </c>
      <c r="B531" s="53" t="s">
        <v>1028</v>
      </c>
      <c r="C531" s="53" t="s">
        <v>8</v>
      </c>
      <c r="E531" s="53" t="s">
        <v>1029</v>
      </c>
    </row>
    <row r="532" ht="15.75" customHeight="1">
      <c r="A532" s="52" t="s">
        <v>113</v>
      </c>
      <c r="B532" s="53" t="s">
        <v>1030</v>
      </c>
      <c r="C532" s="53" t="s">
        <v>8</v>
      </c>
      <c r="E532" s="53" t="s">
        <v>186</v>
      </c>
    </row>
    <row r="533" ht="15.75" customHeight="1">
      <c r="A533" s="52" t="s">
        <v>113</v>
      </c>
      <c r="B533" s="53" t="s">
        <v>1031</v>
      </c>
      <c r="C533" s="53" t="s">
        <v>8</v>
      </c>
      <c r="E533" s="53" t="s">
        <v>188</v>
      </c>
    </row>
    <row r="534" ht="15.75" customHeight="1">
      <c r="A534" s="52" t="s">
        <v>114</v>
      </c>
      <c r="B534" s="53" t="s">
        <v>1032</v>
      </c>
      <c r="C534" s="53" t="s">
        <v>8</v>
      </c>
      <c r="E534" s="53" t="s">
        <v>296</v>
      </c>
    </row>
    <row r="535" ht="15.75" customHeight="1">
      <c r="A535" s="52" t="s">
        <v>114</v>
      </c>
      <c r="B535" s="53" t="s">
        <v>1033</v>
      </c>
      <c r="C535" s="53" t="s">
        <v>8</v>
      </c>
      <c r="E535" s="53" t="s">
        <v>298</v>
      </c>
    </row>
    <row r="536" ht="15.75" customHeight="1">
      <c r="A536" s="52" t="s">
        <v>114</v>
      </c>
      <c r="B536" s="53" t="s">
        <v>1034</v>
      </c>
      <c r="C536" s="53" t="s">
        <v>8</v>
      </c>
      <c r="E536" s="53" t="s">
        <v>188</v>
      </c>
    </row>
    <row r="537" ht="15.75" customHeight="1">
      <c r="A537" s="52" t="s">
        <v>115</v>
      </c>
      <c r="B537" s="53" t="s">
        <v>1035</v>
      </c>
      <c r="C537" s="53" t="s">
        <v>8</v>
      </c>
      <c r="E537" s="53" t="s">
        <v>1036</v>
      </c>
    </row>
    <row r="538" ht="15.75" customHeight="1">
      <c r="A538" s="52" t="s">
        <v>115</v>
      </c>
      <c r="B538" s="53" t="s">
        <v>1037</v>
      </c>
      <c r="C538" s="53" t="s">
        <v>8</v>
      </c>
      <c r="E538" s="53" t="s">
        <v>715</v>
      </c>
    </row>
    <row r="539" ht="15.75" customHeight="1">
      <c r="A539" s="52" t="s">
        <v>115</v>
      </c>
      <c r="B539" s="53" t="s">
        <v>1038</v>
      </c>
      <c r="C539" s="53" t="s">
        <v>8</v>
      </c>
      <c r="E539" s="53" t="s">
        <v>1039</v>
      </c>
    </row>
    <row r="540" ht="15.75" customHeight="1">
      <c r="A540" s="52" t="s">
        <v>115</v>
      </c>
      <c r="B540" s="53" t="s">
        <v>1040</v>
      </c>
      <c r="C540" s="53" t="s">
        <v>8</v>
      </c>
      <c r="E540" s="53" t="s">
        <v>1041</v>
      </c>
    </row>
    <row r="541" ht="15.75" customHeight="1">
      <c r="A541" s="52" t="s">
        <v>115</v>
      </c>
      <c r="B541" s="53" t="s">
        <v>1042</v>
      </c>
      <c r="C541" s="53" t="s">
        <v>8</v>
      </c>
      <c r="E541" s="53" t="s">
        <v>1043</v>
      </c>
    </row>
    <row r="542" ht="15.75" customHeight="1">
      <c r="A542" s="52" t="s">
        <v>115</v>
      </c>
      <c r="B542" s="53" t="s">
        <v>1044</v>
      </c>
      <c r="C542" s="53" t="s">
        <v>8</v>
      </c>
      <c r="E542" s="53" t="s">
        <v>1045</v>
      </c>
    </row>
    <row r="543" ht="15.75" customHeight="1">
      <c r="A543" s="52" t="s">
        <v>115</v>
      </c>
      <c r="B543" s="53" t="s">
        <v>1046</v>
      </c>
      <c r="C543" s="53" t="s">
        <v>8</v>
      </c>
      <c r="E543" s="53" t="s">
        <v>292</v>
      </c>
    </row>
    <row r="544" ht="15.75" customHeight="1">
      <c r="A544" s="52" t="s">
        <v>115</v>
      </c>
      <c r="B544" s="53" t="s">
        <v>1047</v>
      </c>
      <c r="C544" s="53" t="s">
        <v>8</v>
      </c>
      <c r="E544" s="53" t="s">
        <v>186</v>
      </c>
    </row>
    <row r="545" ht="15.75" customHeight="1">
      <c r="A545" s="52" t="s">
        <v>115</v>
      </c>
      <c r="B545" s="53" t="s">
        <v>1048</v>
      </c>
      <c r="C545" s="53" t="s">
        <v>8</v>
      </c>
      <c r="E545" s="53" t="s">
        <v>188</v>
      </c>
    </row>
    <row r="546" ht="15.75" customHeight="1">
      <c r="A546" s="52" t="s">
        <v>117</v>
      </c>
      <c r="B546" s="53" t="s">
        <v>1049</v>
      </c>
      <c r="C546" s="53" t="s">
        <v>8</v>
      </c>
      <c r="E546" s="53" t="s">
        <v>296</v>
      </c>
    </row>
    <row r="547" ht="15.75" customHeight="1">
      <c r="A547" s="52" t="s">
        <v>117</v>
      </c>
      <c r="B547" s="53" t="s">
        <v>1050</v>
      </c>
      <c r="C547" s="53" t="s">
        <v>8</v>
      </c>
      <c r="E547" s="53" t="s">
        <v>298</v>
      </c>
    </row>
    <row r="548" ht="15.75" customHeight="1">
      <c r="A548" s="52" t="s">
        <v>117</v>
      </c>
      <c r="B548" s="53" t="s">
        <v>1051</v>
      </c>
      <c r="C548" s="53" t="s">
        <v>8</v>
      </c>
      <c r="E548" s="53" t="s">
        <v>188</v>
      </c>
    </row>
    <row r="549" ht="15.75" customHeight="1">
      <c r="A549" s="52" t="s">
        <v>118</v>
      </c>
      <c r="B549" s="53" t="s">
        <v>1052</v>
      </c>
      <c r="C549" s="53" t="s">
        <v>8</v>
      </c>
      <c r="E549" s="53" t="s">
        <v>1053</v>
      </c>
    </row>
    <row r="550" ht="15.75" customHeight="1">
      <c r="A550" s="52" t="s">
        <v>118</v>
      </c>
      <c r="B550" s="53" t="s">
        <v>1054</v>
      </c>
      <c r="C550" s="53" t="s">
        <v>8</v>
      </c>
      <c r="E550" s="53" t="s">
        <v>1055</v>
      </c>
    </row>
    <row r="551" ht="15.75" customHeight="1">
      <c r="A551" s="52" t="s">
        <v>118</v>
      </c>
      <c r="C551" s="53" t="s">
        <v>1056</v>
      </c>
      <c r="D551" s="53" t="s">
        <v>1055</v>
      </c>
      <c r="E551" s="53" t="s">
        <v>1057</v>
      </c>
    </row>
    <row r="552" ht="15.75" customHeight="1">
      <c r="A552" s="52" t="s">
        <v>118</v>
      </c>
      <c r="C552" s="53" t="s">
        <v>1058</v>
      </c>
      <c r="D552" s="53" t="s">
        <v>1055</v>
      </c>
      <c r="E552" s="52" t="s">
        <v>1059</v>
      </c>
    </row>
    <row r="553" ht="15.75" customHeight="1">
      <c r="A553" s="52" t="s">
        <v>118</v>
      </c>
      <c r="B553" s="53" t="s">
        <v>1060</v>
      </c>
      <c r="C553" s="53" t="s">
        <v>8</v>
      </c>
      <c r="E553" s="53" t="s">
        <v>1061</v>
      </c>
    </row>
    <row r="554" ht="15.75" customHeight="1">
      <c r="A554" s="52" t="s">
        <v>118</v>
      </c>
      <c r="B554" s="53" t="s">
        <v>1062</v>
      </c>
      <c r="C554" s="53" t="s">
        <v>8</v>
      </c>
      <c r="E554" s="53" t="s">
        <v>292</v>
      </c>
    </row>
    <row r="555" ht="15.75" customHeight="1">
      <c r="A555" s="52" t="s">
        <v>118</v>
      </c>
      <c r="B555" s="53" t="s">
        <v>1063</v>
      </c>
      <c r="C555" s="53" t="s">
        <v>8</v>
      </c>
      <c r="E555" s="53" t="s">
        <v>186</v>
      </c>
    </row>
    <row r="556" ht="15.75" customHeight="1">
      <c r="A556" s="52" t="s">
        <v>118</v>
      </c>
      <c r="B556" s="53" t="s">
        <v>1064</v>
      </c>
      <c r="C556" s="53" t="s">
        <v>8</v>
      </c>
      <c r="E556" s="53" t="s">
        <v>188</v>
      </c>
    </row>
    <row r="557" ht="15.75" customHeight="1">
      <c r="A557" s="52" t="s">
        <v>120</v>
      </c>
      <c r="B557" s="53" t="s">
        <v>1065</v>
      </c>
      <c r="C557" s="53" t="s">
        <v>8</v>
      </c>
      <c r="E557" s="53" t="s">
        <v>1066</v>
      </c>
    </row>
    <row r="558" ht="15.75" customHeight="1">
      <c r="A558" s="52" t="s">
        <v>120</v>
      </c>
      <c r="B558" s="53" t="s">
        <v>1067</v>
      </c>
      <c r="C558" s="53" t="s">
        <v>8</v>
      </c>
      <c r="E558" s="53" t="s">
        <v>1068</v>
      </c>
    </row>
    <row r="559" ht="15.75" customHeight="1">
      <c r="A559" s="52" t="s">
        <v>120</v>
      </c>
      <c r="B559" s="53" t="s">
        <v>1069</v>
      </c>
      <c r="C559" s="53" t="s">
        <v>8</v>
      </c>
      <c r="E559" s="53" t="s">
        <v>1070</v>
      </c>
    </row>
    <row r="560" ht="15.75" customHeight="1">
      <c r="A560" s="52" t="s">
        <v>120</v>
      </c>
      <c r="C560" s="53" t="s">
        <v>1071</v>
      </c>
      <c r="D560" s="53" t="s">
        <v>1070</v>
      </c>
      <c r="E560" s="53" t="s">
        <v>1072</v>
      </c>
    </row>
    <row r="561" ht="15.75" customHeight="1">
      <c r="A561" s="52" t="s">
        <v>120</v>
      </c>
      <c r="C561" s="53" t="s">
        <v>1073</v>
      </c>
      <c r="D561" s="53" t="s">
        <v>1070</v>
      </c>
      <c r="E561" s="53" t="s">
        <v>1074</v>
      </c>
    </row>
    <row r="562" ht="15.75" customHeight="1">
      <c r="A562" s="52" t="s">
        <v>120</v>
      </c>
      <c r="C562" s="53" t="s">
        <v>1075</v>
      </c>
      <c r="D562" s="53" t="s">
        <v>1070</v>
      </c>
      <c r="E562" s="53" t="s">
        <v>1076</v>
      </c>
    </row>
    <row r="563" ht="15.75" customHeight="1">
      <c r="A563" s="52" t="s">
        <v>120</v>
      </c>
      <c r="B563" s="53" t="s">
        <v>1077</v>
      </c>
      <c r="C563" s="53" t="s">
        <v>8</v>
      </c>
      <c r="E563" s="53" t="s">
        <v>1078</v>
      </c>
    </row>
    <row r="564" ht="15.75" customHeight="1">
      <c r="A564" s="52" t="s">
        <v>120</v>
      </c>
      <c r="B564" s="53" t="s">
        <v>1079</v>
      </c>
      <c r="C564" s="53" t="s">
        <v>8</v>
      </c>
      <c r="E564" s="53" t="s">
        <v>186</v>
      </c>
    </row>
    <row r="565" ht="15.75" customHeight="1">
      <c r="A565" s="52" t="s">
        <v>120</v>
      </c>
      <c r="B565" s="53" t="s">
        <v>1080</v>
      </c>
      <c r="C565" s="53" t="s">
        <v>8</v>
      </c>
      <c r="E565" s="53" t="s">
        <v>188</v>
      </c>
    </row>
    <row r="566" ht="15.75" customHeight="1">
      <c r="A566" s="52" t="s">
        <v>121</v>
      </c>
      <c r="B566" s="53" t="s">
        <v>1081</v>
      </c>
      <c r="C566" s="53" t="s">
        <v>8</v>
      </c>
      <c r="E566" s="53" t="s">
        <v>1082</v>
      </c>
    </row>
    <row r="567" ht="15.75" customHeight="1">
      <c r="A567" s="52" t="s">
        <v>121</v>
      </c>
      <c r="B567" s="53" t="s">
        <v>1083</v>
      </c>
      <c r="C567" s="53" t="s">
        <v>8</v>
      </c>
      <c r="E567" s="53" t="s">
        <v>1084</v>
      </c>
    </row>
    <row r="568" ht="15.75" customHeight="1">
      <c r="A568" s="52" t="s">
        <v>121</v>
      </c>
      <c r="B568" s="53" t="s">
        <v>1085</v>
      </c>
      <c r="C568" s="53" t="s">
        <v>8</v>
      </c>
      <c r="E568" s="53" t="s">
        <v>1086</v>
      </c>
    </row>
    <row r="569" ht="15.75" customHeight="1">
      <c r="A569" s="52" t="s">
        <v>121</v>
      </c>
      <c r="B569" s="53" t="s">
        <v>1087</v>
      </c>
      <c r="C569" s="53" t="s">
        <v>8</v>
      </c>
      <c r="E569" s="53" t="s">
        <v>186</v>
      </c>
    </row>
    <row r="570" ht="15.75" customHeight="1">
      <c r="A570" s="52" t="s">
        <v>121</v>
      </c>
      <c r="B570" s="53" t="s">
        <v>1088</v>
      </c>
      <c r="C570" s="53" t="s">
        <v>8</v>
      </c>
      <c r="E570" s="53" t="s">
        <v>188</v>
      </c>
    </row>
    <row r="571" ht="15.75" customHeight="1">
      <c r="A571" s="52" t="s">
        <v>123</v>
      </c>
      <c r="B571" s="53" t="s">
        <v>1089</v>
      </c>
      <c r="C571" s="53" t="s">
        <v>8</v>
      </c>
      <c r="E571" s="53" t="s">
        <v>1090</v>
      </c>
    </row>
    <row r="572" ht="15.75" customHeight="1">
      <c r="A572" s="52" t="s">
        <v>123</v>
      </c>
      <c r="B572" s="53" t="s">
        <v>1091</v>
      </c>
      <c r="C572" s="53" t="s">
        <v>8</v>
      </c>
      <c r="E572" s="53" t="s">
        <v>1092</v>
      </c>
    </row>
    <row r="573" ht="15.75" customHeight="1">
      <c r="A573" s="52" t="s">
        <v>123</v>
      </c>
      <c r="C573" s="53" t="s">
        <v>1093</v>
      </c>
      <c r="D573" s="53" t="s">
        <v>1092</v>
      </c>
      <c r="E573" s="53" t="s">
        <v>1094</v>
      </c>
    </row>
    <row r="574" ht="15.75" customHeight="1">
      <c r="A574" s="52" t="s">
        <v>123</v>
      </c>
      <c r="C574" s="53" t="s">
        <v>1095</v>
      </c>
      <c r="D574" s="53" t="s">
        <v>1092</v>
      </c>
      <c r="E574" s="53" t="s">
        <v>1096</v>
      </c>
    </row>
    <row r="575" ht="15.75" customHeight="1">
      <c r="A575" s="52" t="s">
        <v>123</v>
      </c>
      <c r="C575" s="53" t="s">
        <v>1097</v>
      </c>
      <c r="D575" s="53" t="s">
        <v>1092</v>
      </c>
      <c r="E575" s="53" t="s">
        <v>292</v>
      </c>
    </row>
    <row r="576" ht="15.75" customHeight="1">
      <c r="A576" s="52" t="s">
        <v>123</v>
      </c>
      <c r="B576" s="53" t="s">
        <v>1098</v>
      </c>
      <c r="C576" s="53" t="s">
        <v>8</v>
      </c>
      <c r="E576" s="53" t="s">
        <v>1099</v>
      </c>
    </row>
    <row r="577" ht="15.75" customHeight="1">
      <c r="A577" s="52" t="s">
        <v>123</v>
      </c>
      <c r="B577" s="53" t="s">
        <v>1100</v>
      </c>
      <c r="C577" s="53" t="s">
        <v>8</v>
      </c>
      <c r="E577" s="53" t="s">
        <v>1101</v>
      </c>
    </row>
    <row r="578" ht="15.75" customHeight="1">
      <c r="A578" s="52" t="s">
        <v>123</v>
      </c>
      <c r="B578" s="53" t="s">
        <v>1102</v>
      </c>
      <c r="C578" s="53" t="s">
        <v>8</v>
      </c>
      <c r="E578" s="53" t="s">
        <v>186</v>
      </c>
    </row>
    <row r="579" ht="15.75" customHeight="1">
      <c r="A579" s="52" t="s">
        <v>123</v>
      </c>
      <c r="B579" s="53" t="s">
        <v>1103</v>
      </c>
      <c r="C579" s="53" t="s">
        <v>8</v>
      </c>
      <c r="E579" s="53" t="s">
        <v>188</v>
      </c>
    </row>
    <row r="580" ht="15.75" customHeight="1">
      <c r="A580" s="52" t="s">
        <v>124</v>
      </c>
      <c r="B580" s="53" t="s">
        <v>1104</v>
      </c>
      <c r="C580" s="53" t="s">
        <v>8</v>
      </c>
      <c r="E580" s="53" t="s">
        <v>1105</v>
      </c>
    </row>
    <row r="581" ht="15.75" customHeight="1">
      <c r="A581" s="52" t="s">
        <v>124</v>
      </c>
      <c r="B581" s="53" t="s">
        <v>1106</v>
      </c>
      <c r="C581" s="53" t="s">
        <v>8</v>
      </c>
      <c r="E581" s="53" t="s">
        <v>1107</v>
      </c>
    </row>
    <row r="582" ht="15.75" customHeight="1">
      <c r="A582" s="52" t="s">
        <v>124</v>
      </c>
      <c r="B582" s="53" t="s">
        <v>1108</v>
      </c>
      <c r="C582" s="53" t="s">
        <v>8</v>
      </c>
      <c r="E582" s="53" t="s">
        <v>1109</v>
      </c>
    </row>
    <row r="583" ht="15.75" customHeight="1">
      <c r="A583" s="52" t="s">
        <v>124</v>
      </c>
      <c r="B583" s="53" t="s">
        <v>1110</v>
      </c>
      <c r="C583" s="53" t="s">
        <v>8</v>
      </c>
      <c r="E583" s="53" t="s">
        <v>1111</v>
      </c>
    </row>
    <row r="584" ht="15.75" customHeight="1">
      <c r="A584" s="52" t="s">
        <v>124</v>
      </c>
      <c r="B584" s="53" t="s">
        <v>1112</v>
      </c>
      <c r="C584" s="53" t="s">
        <v>8</v>
      </c>
      <c r="E584" s="53" t="s">
        <v>1113</v>
      </c>
    </row>
    <row r="585" ht="15.75" customHeight="1">
      <c r="A585" s="52" t="s">
        <v>124</v>
      </c>
      <c r="B585" s="53" t="s">
        <v>1114</v>
      </c>
      <c r="C585" s="53" t="s">
        <v>8</v>
      </c>
      <c r="E585" s="53" t="s">
        <v>1115</v>
      </c>
    </row>
    <row r="586" ht="15.75" customHeight="1">
      <c r="A586" s="52" t="s">
        <v>124</v>
      </c>
      <c r="B586" s="53" t="s">
        <v>1116</v>
      </c>
      <c r="C586" s="53" t="s">
        <v>8</v>
      </c>
      <c r="E586" s="53" t="s">
        <v>1117</v>
      </c>
    </row>
    <row r="587" ht="15.75" customHeight="1">
      <c r="A587" s="52" t="s">
        <v>124</v>
      </c>
      <c r="B587" s="53" t="s">
        <v>1118</v>
      </c>
      <c r="C587" s="53" t="s">
        <v>8</v>
      </c>
      <c r="E587" s="53" t="s">
        <v>292</v>
      </c>
    </row>
    <row r="588" ht="15.75" customHeight="1">
      <c r="A588" s="52" t="s">
        <v>124</v>
      </c>
      <c r="B588" s="53" t="s">
        <v>1119</v>
      </c>
      <c r="C588" s="53" t="s">
        <v>8</v>
      </c>
      <c r="E588" s="53" t="s">
        <v>186</v>
      </c>
    </row>
    <row r="589" ht="15.75" customHeight="1">
      <c r="A589" s="52" t="s">
        <v>124</v>
      </c>
      <c r="B589" s="53" t="s">
        <v>1120</v>
      </c>
      <c r="C589" s="53" t="s">
        <v>8</v>
      </c>
      <c r="E589" s="53" t="s">
        <v>188</v>
      </c>
    </row>
    <row r="590" ht="15.75" customHeight="1">
      <c r="A590" s="52" t="s">
        <v>125</v>
      </c>
      <c r="B590" s="53" t="s">
        <v>1121</v>
      </c>
      <c r="C590" s="53" t="s">
        <v>8</v>
      </c>
      <c r="E590" s="53" t="s">
        <v>1122</v>
      </c>
    </row>
    <row r="591" ht="15.75" customHeight="1">
      <c r="A591" s="52" t="s">
        <v>125</v>
      </c>
      <c r="C591" s="53" t="s">
        <v>1123</v>
      </c>
      <c r="D591" s="53" t="s">
        <v>1122</v>
      </c>
      <c r="E591" s="53" t="s">
        <v>1124</v>
      </c>
    </row>
    <row r="592" ht="15.75" customHeight="1">
      <c r="A592" s="52" t="s">
        <v>125</v>
      </c>
      <c r="C592" s="53" t="s">
        <v>1125</v>
      </c>
      <c r="D592" s="53" t="s">
        <v>1122</v>
      </c>
      <c r="E592" s="53" t="s">
        <v>1126</v>
      </c>
    </row>
    <row r="593" ht="15.75" customHeight="1">
      <c r="A593" s="52" t="s">
        <v>125</v>
      </c>
      <c r="C593" s="53" t="s">
        <v>1127</v>
      </c>
      <c r="D593" s="53" t="s">
        <v>1122</v>
      </c>
      <c r="E593" s="53" t="s">
        <v>1128</v>
      </c>
    </row>
    <row r="594" ht="15.75" customHeight="1">
      <c r="A594" s="52" t="s">
        <v>125</v>
      </c>
      <c r="C594" s="53" t="s">
        <v>1129</v>
      </c>
      <c r="D594" s="53" t="s">
        <v>1122</v>
      </c>
      <c r="E594" s="53" t="s">
        <v>292</v>
      </c>
    </row>
    <row r="595" ht="15.75" customHeight="1">
      <c r="A595" s="52" t="s">
        <v>125</v>
      </c>
      <c r="B595" s="53" t="s">
        <v>1130</v>
      </c>
      <c r="C595" s="53" t="s">
        <v>8</v>
      </c>
      <c r="E595" s="53" t="s">
        <v>186</v>
      </c>
    </row>
    <row r="596" ht="15.75" customHeight="1">
      <c r="A596" s="52" t="s">
        <v>125</v>
      </c>
      <c r="B596" s="53" t="s">
        <v>1131</v>
      </c>
      <c r="C596" s="53" t="s">
        <v>8</v>
      </c>
      <c r="E596" s="53" t="s">
        <v>188</v>
      </c>
    </row>
    <row r="597" ht="15.75" customHeight="1">
      <c r="A597" s="52" t="s">
        <v>126</v>
      </c>
      <c r="B597" s="53" t="s">
        <v>1132</v>
      </c>
      <c r="C597" s="53" t="s">
        <v>8</v>
      </c>
      <c r="E597" s="53" t="s">
        <v>1133</v>
      </c>
    </row>
    <row r="598" ht="15.75" customHeight="1">
      <c r="A598" s="52" t="s">
        <v>126</v>
      </c>
      <c r="C598" s="53" t="s">
        <v>1134</v>
      </c>
      <c r="D598" s="53" t="s">
        <v>1133</v>
      </c>
      <c r="E598" s="53" t="s">
        <v>1135</v>
      </c>
    </row>
    <row r="599" ht="15.75" customHeight="1">
      <c r="A599" s="52" t="s">
        <v>126</v>
      </c>
      <c r="C599" s="53" t="s">
        <v>1136</v>
      </c>
      <c r="D599" s="53" t="s">
        <v>1133</v>
      </c>
      <c r="E599" s="53" t="s">
        <v>1137</v>
      </c>
    </row>
    <row r="600" ht="15.75" customHeight="1">
      <c r="A600" s="52" t="s">
        <v>126</v>
      </c>
      <c r="C600" s="53" t="s">
        <v>1138</v>
      </c>
      <c r="D600" s="53" t="s">
        <v>1133</v>
      </c>
      <c r="E600" s="53" t="s">
        <v>1139</v>
      </c>
    </row>
    <row r="601" ht="15.75" customHeight="1">
      <c r="A601" s="52" t="s">
        <v>126</v>
      </c>
      <c r="C601" s="53" t="s">
        <v>1140</v>
      </c>
      <c r="D601" s="53" t="s">
        <v>1133</v>
      </c>
      <c r="E601" s="53" t="s">
        <v>1141</v>
      </c>
    </row>
    <row r="602" ht="15.75" customHeight="1">
      <c r="A602" s="52" t="s">
        <v>126</v>
      </c>
      <c r="C602" s="53" t="s">
        <v>1142</v>
      </c>
      <c r="D602" s="53" t="s">
        <v>1133</v>
      </c>
      <c r="E602" s="53" t="s">
        <v>1143</v>
      </c>
    </row>
    <row r="603" ht="15.75" customHeight="1">
      <c r="A603" s="52" t="s">
        <v>126</v>
      </c>
      <c r="C603" s="53" t="s">
        <v>1144</v>
      </c>
      <c r="D603" s="53" t="s">
        <v>1133</v>
      </c>
      <c r="E603" s="53" t="s">
        <v>292</v>
      </c>
    </row>
    <row r="604" ht="15.75" customHeight="1">
      <c r="A604" s="52" t="s">
        <v>126</v>
      </c>
      <c r="B604" s="53" t="s">
        <v>1145</v>
      </c>
      <c r="C604" s="53" t="s">
        <v>8</v>
      </c>
      <c r="E604" s="53" t="s">
        <v>1146</v>
      </c>
    </row>
    <row r="605" ht="15.75" customHeight="1">
      <c r="A605" s="52" t="s">
        <v>126</v>
      </c>
      <c r="C605" s="53" t="s">
        <v>1147</v>
      </c>
      <c r="D605" s="53" t="s">
        <v>1146</v>
      </c>
      <c r="E605" s="53" t="s">
        <v>1148</v>
      </c>
    </row>
    <row r="606" ht="15.75" customHeight="1">
      <c r="A606" s="52" t="s">
        <v>126</v>
      </c>
      <c r="C606" s="53" t="s">
        <v>1149</v>
      </c>
      <c r="D606" s="53" t="s">
        <v>1146</v>
      </c>
      <c r="E606" s="53" t="s">
        <v>1150</v>
      </c>
    </row>
    <row r="607" ht="15.75" customHeight="1">
      <c r="A607" s="52" t="s">
        <v>126</v>
      </c>
      <c r="C607" s="53" t="s">
        <v>1151</v>
      </c>
      <c r="D607" s="53" t="s">
        <v>1146</v>
      </c>
      <c r="E607" s="53" t="s">
        <v>1152</v>
      </c>
    </row>
    <row r="608" ht="15.75" customHeight="1">
      <c r="A608" s="52" t="s">
        <v>126</v>
      </c>
      <c r="C608" s="53" t="s">
        <v>1153</v>
      </c>
      <c r="D608" s="53" t="s">
        <v>1146</v>
      </c>
      <c r="E608" s="53" t="s">
        <v>1139</v>
      </c>
    </row>
    <row r="609" ht="15.75" customHeight="1">
      <c r="A609" s="52" t="s">
        <v>126</v>
      </c>
      <c r="C609" s="53" t="s">
        <v>1154</v>
      </c>
      <c r="D609" s="53" t="s">
        <v>1146</v>
      </c>
      <c r="E609" s="53" t="s">
        <v>1141</v>
      </c>
    </row>
    <row r="610" ht="15.75" customHeight="1">
      <c r="A610" s="52" t="s">
        <v>126</v>
      </c>
      <c r="C610" s="53" t="s">
        <v>1155</v>
      </c>
      <c r="D610" s="53" t="s">
        <v>1146</v>
      </c>
      <c r="E610" s="53" t="s">
        <v>1143</v>
      </c>
    </row>
    <row r="611" ht="15.75" customHeight="1">
      <c r="A611" s="52" t="s">
        <v>126</v>
      </c>
      <c r="C611" s="53" t="s">
        <v>1156</v>
      </c>
      <c r="D611" s="53" t="s">
        <v>1146</v>
      </c>
      <c r="E611" s="53" t="s">
        <v>292</v>
      </c>
    </row>
    <row r="612" ht="15.75" customHeight="1">
      <c r="A612" s="52" t="s">
        <v>126</v>
      </c>
      <c r="B612" s="53" t="s">
        <v>1157</v>
      </c>
      <c r="C612" s="53" t="s">
        <v>8</v>
      </c>
      <c r="E612" s="53" t="s">
        <v>186</v>
      </c>
    </row>
    <row r="613" ht="15.75" customHeight="1">
      <c r="A613" s="52" t="s">
        <v>126</v>
      </c>
      <c r="B613" s="53" t="s">
        <v>1158</v>
      </c>
      <c r="C613" s="53" t="s">
        <v>8</v>
      </c>
      <c r="E613" s="53" t="s">
        <v>188</v>
      </c>
    </row>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2" width="10.0"/>
    <col customWidth="1" min="3" max="3" width="26.0"/>
    <col customWidth="1" min="4" max="4" width="50.0"/>
    <col customWidth="1" min="5" max="5" width="18.0"/>
    <col customWidth="1" min="6" max="26" width="8.71"/>
  </cols>
  <sheetData>
    <row r="1">
      <c r="A1" s="50" t="s">
        <v>1159</v>
      </c>
    </row>
    <row r="2">
      <c r="A2" s="2" t="s">
        <v>1160</v>
      </c>
    </row>
    <row r="4">
      <c r="A4" s="51" t="s">
        <v>1161</v>
      </c>
      <c r="B4" s="51" t="s">
        <v>1162</v>
      </c>
      <c r="C4" s="51" t="s">
        <v>1163</v>
      </c>
      <c r="D4" s="51" t="s">
        <v>1164</v>
      </c>
      <c r="E4" s="51" t="s">
        <v>1165</v>
      </c>
    </row>
    <row r="5">
      <c r="A5" s="54" t="s">
        <v>1166</v>
      </c>
      <c r="B5" s="54" t="s">
        <v>25</v>
      </c>
      <c r="C5" s="55" t="s">
        <v>1167</v>
      </c>
      <c r="D5" s="54" t="s">
        <v>1168</v>
      </c>
      <c r="E5" s="55" t="s">
        <v>1169</v>
      </c>
    </row>
    <row r="6">
      <c r="A6" s="54" t="s">
        <v>1170</v>
      </c>
      <c r="B6" s="54" t="s">
        <v>27</v>
      </c>
      <c r="C6" s="55" t="s">
        <v>1167</v>
      </c>
      <c r="D6" s="54" t="s">
        <v>1171</v>
      </c>
      <c r="E6" s="55" t="s">
        <v>1169</v>
      </c>
    </row>
    <row r="7">
      <c r="A7" s="54" t="s">
        <v>1172</v>
      </c>
      <c r="B7" s="54" t="s">
        <v>29</v>
      </c>
      <c r="C7" s="55" t="s">
        <v>1167</v>
      </c>
      <c r="D7" s="54" t="s">
        <v>1173</v>
      </c>
      <c r="E7" s="55" t="s">
        <v>1169</v>
      </c>
    </row>
    <row r="8">
      <c r="A8" s="54" t="s">
        <v>1174</v>
      </c>
      <c r="B8" s="54" t="s">
        <v>29</v>
      </c>
      <c r="C8" s="55" t="s">
        <v>1175</v>
      </c>
      <c r="D8" s="54" t="s">
        <v>1176</v>
      </c>
      <c r="E8" s="55" t="s">
        <v>1169</v>
      </c>
    </row>
    <row r="9">
      <c r="A9" s="54" t="s">
        <v>1177</v>
      </c>
      <c r="B9" s="54" t="s">
        <v>50</v>
      </c>
      <c r="C9" s="55" t="s">
        <v>298</v>
      </c>
      <c r="D9" s="54" t="s">
        <v>1178</v>
      </c>
      <c r="E9" s="55" t="s">
        <v>1179</v>
      </c>
    </row>
    <row r="10">
      <c r="A10" s="54" t="s">
        <v>1180</v>
      </c>
      <c r="B10" s="54" t="s">
        <v>65</v>
      </c>
      <c r="C10" s="55" t="s">
        <v>298</v>
      </c>
      <c r="D10" s="54" t="s">
        <v>1181</v>
      </c>
      <c r="E10" s="55" t="s">
        <v>1179</v>
      </c>
    </row>
    <row r="11">
      <c r="A11" s="54" t="s">
        <v>1182</v>
      </c>
      <c r="B11" s="54" t="s">
        <v>71</v>
      </c>
      <c r="C11" s="55" t="s">
        <v>298</v>
      </c>
      <c r="D11" s="54" t="s">
        <v>1183</v>
      </c>
      <c r="E11" s="55" t="s">
        <v>1179</v>
      </c>
    </row>
    <row r="12">
      <c r="A12" s="54" t="s">
        <v>1184</v>
      </c>
      <c r="B12" s="54" t="s">
        <v>77</v>
      </c>
      <c r="C12" s="55" t="s">
        <v>1185</v>
      </c>
      <c r="D12" s="54" t="s">
        <v>1186</v>
      </c>
      <c r="E12" s="55" t="s">
        <v>1179</v>
      </c>
    </row>
    <row r="13">
      <c r="A13" s="54" t="s">
        <v>1187</v>
      </c>
      <c r="B13" s="54" t="s">
        <v>84</v>
      </c>
      <c r="C13" s="55" t="s">
        <v>1188</v>
      </c>
      <c r="D13" s="54" t="s">
        <v>1189</v>
      </c>
      <c r="E13" s="55" t="s">
        <v>1179</v>
      </c>
    </row>
    <row r="14">
      <c r="A14" s="54" t="s">
        <v>1190</v>
      </c>
      <c r="B14" s="54" t="s">
        <v>88</v>
      </c>
      <c r="C14" s="55" t="s">
        <v>298</v>
      </c>
      <c r="D14" s="54" t="s">
        <v>1191</v>
      </c>
      <c r="E14" s="55" t="s">
        <v>1179</v>
      </c>
    </row>
    <row r="15">
      <c r="A15" s="54" t="s">
        <v>1192</v>
      </c>
      <c r="B15" s="54" t="s">
        <v>94</v>
      </c>
      <c r="C15" s="55" t="s">
        <v>1193</v>
      </c>
      <c r="D15" s="54" t="s">
        <v>1194</v>
      </c>
      <c r="E15" s="55" t="s">
        <v>1195</v>
      </c>
    </row>
    <row r="16">
      <c r="A16" s="54" t="s">
        <v>1196</v>
      </c>
      <c r="B16" s="54" t="s">
        <v>94</v>
      </c>
      <c r="C16" s="54" t="s">
        <v>1197</v>
      </c>
      <c r="D16" s="54" t="s">
        <v>1198</v>
      </c>
      <c r="E16" s="55" t="s">
        <v>1199</v>
      </c>
    </row>
    <row r="17">
      <c r="A17" s="54" t="s">
        <v>1200</v>
      </c>
      <c r="B17" s="54" t="s">
        <v>111</v>
      </c>
      <c r="C17" s="55" t="s">
        <v>298</v>
      </c>
      <c r="D17" s="54" t="s">
        <v>1201</v>
      </c>
      <c r="E17" s="55" t="s">
        <v>1179</v>
      </c>
    </row>
    <row r="18">
      <c r="A18" s="54" t="s">
        <v>1202</v>
      </c>
      <c r="B18" s="54" t="s">
        <v>114</v>
      </c>
      <c r="C18" s="55" t="s">
        <v>298</v>
      </c>
      <c r="D18" s="54" t="s">
        <v>1203</v>
      </c>
      <c r="E18" s="55" t="s">
        <v>1179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0"/>
    <col customWidth="1" min="2" max="26" width="8.71"/>
  </cols>
  <sheetData>
    <row r="1">
      <c r="A1" s="29" t="s">
        <v>1204</v>
      </c>
    </row>
    <row r="2">
      <c r="A2" s="56"/>
    </row>
    <row r="3">
      <c r="A3" s="57" t="s">
        <v>1205</v>
      </c>
    </row>
    <row r="4">
      <c r="A4" s="56" t="s">
        <v>1206</v>
      </c>
    </row>
    <row r="5">
      <c r="A5" s="56"/>
    </row>
    <row r="6">
      <c r="A6" s="57" t="s">
        <v>1207</v>
      </c>
    </row>
    <row r="7">
      <c r="A7" s="56" t="s">
        <v>1208</v>
      </c>
    </row>
    <row r="8">
      <c r="A8" s="56" t="s">
        <v>1209</v>
      </c>
    </row>
    <row r="9">
      <c r="A9" s="56" t="s">
        <v>1210</v>
      </c>
    </row>
    <row r="10">
      <c r="A10" s="56" t="s">
        <v>1211</v>
      </c>
    </row>
    <row r="11">
      <c r="A11" s="56"/>
    </row>
    <row r="12">
      <c r="A12" s="57" t="s">
        <v>1212</v>
      </c>
    </row>
    <row r="13">
      <c r="A13" s="58" t="s">
        <v>1213</v>
      </c>
    </row>
    <row r="14">
      <c r="A14" s="58" t="s">
        <v>1214</v>
      </c>
    </row>
    <row r="15">
      <c r="A15" s="58" t="s">
        <v>1215</v>
      </c>
    </row>
    <row r="16">
      <c r="A16" s="56"/>
    </row>
    <row r="17">
      <c r="A17" s="57" t="s">
        <v>1216</v>
      </c>
    </row>
    <row r="18">
      <c r="A18" s="58" t="s">
        <v>1217</v>
      </c>
    </row>
    <row r="19">
      <c r="A19" s="58" t="s">
        <v>1218</v>
      </c>
    </row>
    <row r="20">
      <c r="A20" s="58" t="s">
        <v>1219</v>
      </c>
    </row>
    <row r="21" ht="15.75" customHeight="1">
      <c r="A21" s="58" t="s">
        <v>1220</v>
      </c>
    </row>
    <row r="22" ht="15.75" customHeight="1">
      <c r="A22" s="58" t="s">
        <v>1221</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2026-06-09T11:35:04Z</dcterms:created>
  <dc:creator>openpyxl</dc:creator>
</cp:coreProperties>
</file>